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IMCD\2025\Upcycling\"/>
    </mc:Choice>
  </mc:AlternateContent>
  <bookViews>
    <workbookView xWindow="0" yWindow="0" windowWidth="23040" windowHeight="8595"/>
  </bookViews>
  <sheets>
    <sheet name="Datos de entrada" sheetId="1" r:id="rId1"/>
    <sheet name="Cadena de valor" sheetId="2" r:id="rId2"/>
    <sheet name="Cálculo de costes" sheetId="3" r:id="rId3"/>
  </sheets>
  <calcPr calcId="152511"/>
</workbook>
</file>

<file path=xl/calcChain.xml><?xml version="1.0" encoding="utf-8"?>
<calcChain xmlns="http://schemas.openxmlformats.org/spreadsheetml/2006/main">
  <c r="A78" i="3" l="1"/>
  <c r="E37" i="1" l="1"/>
  <c r="E33" i="1"/>
  <c r="D33" i="1"/>
  <c r="E32" i="1"/>
  <c r="E31" i="1"/>
  <c r="D29" i="1"/>
  <c r="D28" i="1"/>
  <c r="D27" i="1"/>
  <c r="D26" i="1"/>
  <c r="E23" i="1"/>
  <c r="E24" i="1"/>
  <c r="E25" i="1"/>
  <c r="E22" i="1"/>
  <c r="D19" i="1"/>
  <c r="D20" i="1"/>
  <c r="D21" i="1"/>
  <c r="D18" i="1"/>
  <c r="E17" i="1"/>
  <c r="D16" i="1"/>
  <c r="E12" i="1"/>
  <c r="E13" i="1"/>
  <c r="E14" i="1"/>
  <c r="E15" i="1"/>
  <c r="E11" i="1"/>
  <c r="D7" i="1"/>
  <c r="D8" i="1"/>
  <c r="D9" i="1"/>
  <c r="D10" i="1"/>
  <c r="D4" i="1"/>
  <c r="D5" i="1"/>
  <c r="D6" i="1"/>
  <c r="D3" i="1"/>
  <c r="B52" i="3" l="1"/>
  <c r="B51" i="3"/>
  <c r="N112" i="3"/>
  <c r="L105" i="3"/>
  <c r="M105" i="3" s="1"/>
  <c r="H106" i="3"/>
  <c r="H107" i="3"/>
  <c r="H108" i="3"/>
  <c r="H109" i="3"/>
  <c r="H105" i="3"/>
  <c r="B106" i="3"/>
  <c r="B107" i="3"/>
  <c r="B108" i="3"/>
  <c r="B109" i="3"/>
  <c r="B105" i="3"/>
  <c r="F105" i="3"/>
  <c r="G105" i="3" s="1"/>
  <c r="A96" i="3"/>
  <c r="B96" i="3"/>
  <c r="C96" i="3"/>
  <c r="B97" i="3"/>
  <c r="C97" i="3"/>
  <c r="A98" i="3"/>
  <c r="B98" i="3"/>
  <c r="C98" i="3"/>
  <c r="B95" i="3"/>
  <c r="C95" i="3"/>
  <c r="A95" i="3"/>
  <c r="A88" i="3"/>
  <c r="B88" i="3"/>
  <c r="C88" i="3"/>
  <c r="B89" i="3"/>
  <c r="C89" i="3"/>
  <c r="A90" i="3"/>
  <c r="B90" i="3"/>
  <c r="C90" i="3"/>
  <c r="B87" i="3"/>
  <c r="C87" i="3"/>
  <c r="A87" i="3"/>
  <c r="E78" i="3"/>
  <c r="B79" i="3"/>
  <c r="B72" i="3"/>
  <c r="E71" i="3"/>
  <c r="F59" i="3"/>
  <c r="A60" i="3"/>
  <c r="B60" i="3"/>
  <c r="C60" i="3"/>
  <c r="A61" i="3"/>
  <c r="B61" i="3"/>
  <c r="B71" i="3" s="1"/>
  <c r="C61" i="3"/>
  <c r="C71" i="3" s="1"/>
  <c r="A62" i="3"/>
  <c r="B62" i="3"/>
  <c r="B78" i="3" s="1"/>
  <c r="C62" i="3"/>
  <c r="C78" i="3" s="1"/>
  <c r="A63" i="3"/>
  <c r="B63" i="3"/>
  <c r="C63" i="3"/>
  <c r="C59" i="3"/>
  <c r="B59" i="3"/>
  <c r="A59" i="3"/>
  <c r="G44" i="3"/>
  <c r="E16" i="3"/>
  <c r="G39" i="3"/>
  <c r="C42" i="3"/>
  <c r="B42" i="3"/>
  <c r="C43" i="3"/>
  <c r="B43" i="3"/>
  <c r="D39" i="3"/>
  <c r="C39" i="3" s="1"/>
  <c r="C30" i="3"/>
  <c r="C31" i="3"/>
  <c r="C32" i="3"/>
  <c r="C33" i="3"/>
  <c r="B31" i="3"/>
  <c r="B32" i="3"/>
  <c r="B33" i="3"/>
  <c r="B30" i="3"/>
  <c r="B22" i="3"/>
  <c r="B23" i="3" s="1"/>
  <c r="F22" i="3"/>
  <c r="G16" i="3"/>
  <c r="F16" i="3"/>
  <c r="D16" i="3"/>
  <c r="C13" i="3"/>
  <c r="F13" i="3" s="1"/>
  <c r="I13" i="3" s="1"/>
  <c r="C12" i="3"/>
  <c r="E12" i="3" s="1"/>
  <c r="I12" i="3" s="1"/>
  <c r="H11" i="3"/>
  <c r="C11" i="3"/>
  <c r="C9" i="3"/>
  <c r="E9" i="3" s="1"/>
  <c r="C10" i="3"/>
  <c r="I5" i="1"/>
  <c r="G10" i="3" s="1"/>
  <c r="I4" i="1"/>
  <c r="C8" i="3"/>
  <c r="H8" i="3" s="1"/>
  <c r="C7" i="3"/>
  <c r="I7" i="3" s="1"/>
  <c r="C6" i="3"/>
  <c r="G6" i="3" s="1"/>
  <c r="C5" i="3"/>
  <c r="H5" i="3" s="1"/>
  <c r="K8" i="2"/>
  <c r="K5" i="2"/>
  <c r="H11" i="2"/>
  <c r="Q14" i="2"/>
  <c r="Q7" i="2"/>
  <c r="B8" i="2"/>
  <c r="D22" i="3" l="1"/>
  <c r="I11" i="3"/>
  <c r="I6" i="3"/>
  <c r="D10" i="3"/>
  <c r="D14" i="3" s="1"/>
  <c r="D17" i="3" s="1"/>
  <c r="D23" i="3" s="1"/>
  <c r="F23" i="3" s="1"/>
  <c r="F24" i="3" s="1"/>
  <c r="F25" i="3" s="1"/>
  <c r="D31" i="3" s="1"/>
  <c r="C45" i="3"/>
  <c r="D59" i="3"/>
  <c r="H14" i="3"/>
  <c r="N110" i="3" s="1"/>
  <c r="D105" i="3"/>
  <c r="N105" i="3"/>
  <c r="G14" i="3"/>
  <c r="G17" i="3" s="1"/>
  <c r="J105" i="3"/>
  <c r="G40" i="3"/>
  <c r="G41" i="3" s="1"/>
  <c r="I9" i="3"/>
  <c r="C14" i="3"/>
  <c r="B45" i="3"/>
  <c r="F8" i="3"/>
  <c r="E8" i="3"/>
  <c r="E5" i="3"/>
  <c r="F5" i="3"/>
  <c r="D45" i="3" l="1"/>
  <c r="I10" i="3"/>
  <c r="D33" i="3"/>
  <c r="F33" i="3" s="1"/>
  <c r="F31" i="3"/>
  <c r="D32" i="3"/>
  <c r="F32" i="3" s="1"/>
  <c r="B40" i="3" s="1"/>
  <c r="B41" i="3" s="1"/>
  <c r="B46" i="3" s="1"/>
  <c r="E51" i="3" s="1"/>
  <c r="G51" i="3" s="1"/>
  <c r="I8" i="3"/>
  <c r="F14" i="3"/>
  <c r="F17" i="3" s="1"/>
  <c r="D79" i="3" s="1"/>
  <c r="F79" i="3" s="1"/>
  <c r="D108" i="3"/>
  <c r="F108" i="3" s="1"/>
  <c r="J108" i="3"/>
  <c r="L108" i="3" s="1"/>
  <c r="M108" i="3" s="1"/>
  <c r="E14" i="3"/>
  <c r="E17" i="3" s="1"/>
  <c r="G45" i="3" s="1"/>
  <c r="G46" i="3" s="1"/>
  <c r="C40" i="3" s="1"/>
  <c r="I5" i="3"/>
  <c r="B47" i="3" l="1"/>
  <c r="D72" i="3"/>
  <c r="F72" i="3" s="1"/>
  <c r="B48" i="3"/>
  <c r="C41" i="3"/>
  <c r="C46" i="3" s="1"/>
  <c r="E52" i="3" s="1"/>
  <c r="G52" i="3" s="1"/>
  <c r="G53" i="3" s="1"/>
  <c r="D40" i="3"/>
  <c r="D41" i="3" s="1"/>
  <c r="G108" i="3"/>
  <c r="N108" i="3"/>
  <c r="I14" i="3"/>
  <c r="C47" i="3" l="1"/>
  <c r="D47" i="3" s="1"/>
  <c r="C48" i="3"/>
  <c r="D48" i="3" s="1"/>
  <c r="D46" i="3"/>
  <c r="D60" i="3" s="1"/>
  <c r="F60" i="3" s="1"/>
  <c r="B65" i="3" s="1"/>
  <c r="D62" i="3" l="1"/>
  <c r="D63" i="3"/>
  <c r="F63" i="3" s="1"/>
  <c r="D61" i="3"/>
  <c r="D71" i="3" l="1"/>
  <c r="F61" i="3"/>
  <c r="F71" i="3" s="1"/>
  <c r="F73" i="3" s="1"/>
  <c r="F74" i="3" s="1"/>
  <c r="D88" i="3" s="1"/>
  <c r="F62" i="3"/>
  <c r="F78" i="3" s="1"/>
  <c r="F80" i="3" s="1"/>
  <c r="F81" i="3" s="1"/>
  <c r="D96" i="3" s="1"/>
  <c r="D78" i="3"/>
  <c r="D90" i="3" l="1"/>
  <c r="F90" i="3" s="1"/>
  <c r="D98" i="3" s="1"/>
  <c r="F98" i="3" s="1"/>
  <c r="D89" i="3"/>
  <c r="F88" i="3"/>
  <c r="F96" i="3"/>
  <c r="D97" i="3"/>
  <c r="F89" i="3" l="1"/>
  <c r="D106" i="3"/>
  <c r="F97" i="3"/>
  <c r="J106" i="3"/>
  <c r="L106" i="3" l="1"/>
  <c r="M106" i="3" s="1"/>
  <c r="J107" i="3"/>
  <c r="F106" i="3"/>
  <c r="D107" i="3"/>
  <c r="F107" i="3" l="1"/>
  <c r="D109" i="3"/>
  <c r="F109" i="3" s="1"/>
  <c r="N106" i="3"/>
  <c r="G106" i="3"/>
  <c r="J109" i="3"/>
  <c r="L109" i="3" s="1"/>
  <c r="M109" i="3" s="1"/>
  <c r="L107" i="3"/>
  <c r="M107" i="3" s="1"/>
  <c r="N109" i="3" l="1"/>
  <c r="N111" i="3" s="1"/>
  <c r="N113" i="3" s="1"/>
  <c r="G109" i="3"/>
  <c r="N107" i="3"/>
  <c r="G107" i="3"/>
</calcChain>
</file>

<file path=xl/sharedStrings.xml><?xml version="1.0" encoding="utf-8"?>
<sst xmlns="http://schemas.openxmlformats.org/spreadsheetml/2006/main" count="296" uniqueCount="174">
  <si>
    <t>Terrenos y Construcciones</t>
  </si>
  <si>
    <t>Maquinaria  Pulido</t>
  </si>
  <si>
    <t xml:space="preserve">Maquinaria Cortado </t>
  </si>
  <si>
    <t>Elementos de transporte</t>
  </si>
  <si>
    <t>Amortización del Edificio</t>
  </si>
  <si>
    <t>Amortización de la maquinaria de cortado</t>
  </si>
  <si>
    <t>Amortización de la maquinaria de pulido</t>
  </si>
  <si>
    <t>Amortización del vehículo</t>
  </si>
  <si>
    <t>Amortización Acumulada del IM</t>
  </si>
  <si>
    <t>Capital Social</t>
  </si>
  <si>
    <t>Reservas</t>
  </si>
  <si>
    <t>Deudas a c/p con entidades de crédito</t>
  </si>
  <si>
    <t>Intereses de Deudas</t>
  </si>
  <si>
    <t>Acreedores por intereses</t>
  </si>
  <si>
    <t>Compras de gasoleo</t>
  </si>
  <si>
    <t>Proveedores</t>
  </si>
  <si>
    <t>Acreedores por prestación de servicios</t>
  </si>
  <si>
    <t>HP acreedora</t>
  </si>
  <si>
    <t>Organismos de la SS acreedores</t>
  </si>
  <si>
    <t>Gastos de Personal</t>
  </si>
  <si>
    <t>Suministros</t>
  </si>
  <si>
    <t>Reparaciones y Conservación</t>
  </si>
  <si>
    <t>Telefonos</t>
  </si>
  <si>
    <t>Caja</t>
  </si>
  <si>
    <t>XXX</t>
  </si>
  <si>
    <t>Saldos</t>
  </si>
  <si>
    <t>Cuentas</t>
  </si>
  <si>
    <t>Deudas a l/p con entidades de crédito</t>
  </si>
  <si>
    <t>TABLA DE RECLASIFICACIÓN DE CI</t>
  </si>
  <si>
    <t>Ex Ini</t>
  </si>
  <si>
    <t>Compras</t>
  </si>
  <si>
    <t>Consumo</t>
  </si>
  <si>
    <t>Ex Fin</t>
  </si>
  <si>
    <t>ud</t>
  </si>
  <si>
    <t>Empiezo</t>
  </si>
  <si>
    <t>Termino</t>
  </si>
  <si>
    <t>Fabricación</t>
  </si>
  <si>
    <t>Ventas</t>
  </si>
  <si>
    <t>Ex Ini en curso + Las que empiezo = Las que termino + Ex Fin en curso</t>
  </si>
  <si>
    <t>Consumo Vintage</t>
  </si>
  <si>
    <t>Consumo Eternity</t>
  </si>
  <si>
    <t>Coste</t>
  </si>
  <si>
    <t>Clave de distribución</t>
  </si>
  <si>
    <t>TOTAL</t>
  </si>
  <si>
    <t>Aprovisionamiento</t>
  </si>
  <si>
    <t>Distribución</t>
  </si>
  <si>
    <t>Amortización Edificio</t>
  </si>
  <si>
    <t>Punto 1</t>
  </si>
  <si>
    <t>Check</t>
  </si>
  <si>
    <t>Punto 2</t>
  </si>
  <si>
    <t>MOI</t>
  </si>
  <si>
    <t>Punto 3</t>
  </si>
  <si>
    <t>Punto 4</t>
  </si>
  <si>
    <t>Amortización furgoneta</t>
  </si>
  <si>
    <t>Amortización mensual</t>
  </si>
  <si>
    <t>Amortización por km</t>
  </si>
  <si>
    <t>km aprovisionamiento</t>
  </si>
  <si>
    <t>km distribución</t>
  </si>
  <si>
    <t>Punto 5</t>
  </si>
  <si>
    <t>Reparaciones</t>
  </si>
  <si>
    <t>Suponemos que pertenece a RRHH</t>
  </si>
  <si>
    <t>Teléfonos</t>
  </si>
  <si>
    <t>Amortización Maquinaria Cortado</t>
  </si>
  <si>
    <t>Amortización Maquinaria Pulido</t>
  </si>
  <si>
    <t>Todo a Cortado</t>
  </si>
  <si>
    <t>Todo a Pulido</t>
  </si>
  <si>
    <t>Amortización vehículo</t>
  </si>
  <si>
    <t>TOTAL COSTES</t>
  </si>
  <si>
    <t>Unidad de obra</t>
  </si>
  <si>
    <t>Volumen</t>
  </si>
  <si>
    <t>Coste unitario</t>
  </si>
  <si>
    <t>uds compradas</t>
  </si>
  <si>
    <t>h.montaje</t>
  </si>
  <si>
    <t>uds vendidas</t>
  </si>
  <si>
    <t>-</t>
  </si>
  <si>
    <t>COSTE DE COMPRA DE MMPP</t>
  </si>
  <si>
    <t>Cotización Proveedores</t>
  </si>
  <si>
    <t>CI de aprovisionamiento</t>
  </si>
  <si>
    <t>Mag Física</t>
  </si>
  <si>
    <t>Mag Económica</t>
  </si>
  <si>
    <t>€/ud</t>
  </si>
  <si>
    <t>MMPP</t>
  </si>
  <si>
    <t>MOD</t>
  </si>
  <si>
    <t>GGF</t>
  </si>
  <si>
    <t>Ex Ini en curso</t>
  </si>
  <si>
    <t>Costes del periodo</t>
  </si>
  <si>
    <t>Costes totales</t>
  </si>
  <si>
    <t xml:space="preserve"> - uds terminadas</t>
  </si>
  <si>
    <t xml:space="preserve"> - ex fin en curso</t>
  </si>
  <si>
    <t>PEQ</t>
  </si>
  <si>
    <t>Coste de las existencias finales en curso</t>
  </si>
  <si>
    <t>Coste de las unidades terminadas de los PPCC</t>
  </si>
  <si>
    <t>MOD este periodo</t>
  </si>
  <si>
    <t>Sueldos y Salarios + SS</t>
  </si>
  <si>
    <t>GGF este periodo</t>
  </si>
  <si>
    <t>uds empezadas a cortar</t>
  </si>
  <si>
    <t>MOD y GGF</t>
  </si>
  <si>
    <t>CMP</t>
  </si>
  <si>
    <t>CI de montado y pulido</t>
  </si>
  <si>
    <t>€/h.montaje</t>
  </si>
  <si>
    <t>COSTE DE PRODUCTO VENDIDO</t>
  </si>
  <si>
    <t>CPV</t>
  </si>
  <si>
    <t>CUENTA DE RESULTADOS</t>
  </si>
  <si>
    <t>SUBTOTAL</t>
  </si>
  <si>
    <t>% Ventas</t>
  </si>
  <si>
    <t xml:space="preserve"> - CPV</t>
  </si>
  <si>
    <t>Margen Bruto</t>
  </si>
  <si>
    <t xml:space="preserve"> - CI Distribución</t>
  </si>
  <si>
    <t>Margen Comercial</t>
  </si>
  <si>
    <t>Resultado de explotación</t>
  </si>
  <si>
    <t xml:space="preserve"> - Gastos financieros</t>
  </si>
  <si>
    <t>Resultado del ejercicio</t>
  </si>
  <si>
    <t xml:space="preserve"> - RRHH</t>
  </si>
  <si>
    <t>Valoración de almacen de Ex Fin en Curso</t>
  </si>
  <si>
    <t xml:space="preserve"> - MMPP</t>
  </si>
  <si>
    <t xml:space="preserve"> - MOD y GGF</t>
  </si>
  <si>
    <t xml:space="preserve"> TOTAL</t>
  </si>
  <si>
    <t>uds</t>
  </si>
  <si>
    <t>COMETARIO CRÍTICO</t>
  </si>
  <si>
    <t>La empresa, como vemos en la cuenta de resultados, ha obtenido unos beneficios antes de impuestos y después de intereses de 18170,93€ por lo que a priori parece rentable. Metiendonos más a fondo en como ha logrado este resultado, observamos</t>
  </si>
  <si>
    <t>que ambos anillos cuentan con un alto coste de producto vendido con respecto a su precio de ventas (79% para los vintage y 84% para los eternity), que supone que su margen bruto con respecto al precio de venta sea bastante reducido (21% y 16%).</t>
  </si>
  <si>
    <t>Este factor es el que principalmente reduce los beneficios por la venta de los anillos y ese CPV esta relacionado con lo que le cuesta a la empresa comprar y fabricar los anillos por cada anillo vendido,</t>
  </si>
  <si>
    <t>por lo que está asociado con esos costes de fabricación de la fase de cortado y la fase de montado y pulido; además de los costes de la fase de aprovisionamiento</t>
  </si>
  <si>
    <t>Mirando con detalle esas fases se puede observar que los costes de compra de los diamantes son altísimos (87,50 por unidad). Como los gastos de compra son prácticamente mínimos</t>
  </si>
  <si>
    <t>aquí la empresa lo único que podría hacer sería presionar al departamento de aprovisionamiento para que obtuviera unas condiciones más favorables en los precios de compra de los diamantes.</t>
  </si>
  <si>
    <t>Con respecto a la fase de cortado, vemos que loa productos semiterminados en este periodo han aumentado su coste unitario con respecto a las existencias iniciales en unos 8€, lo cual hace que el precio del consumo</t>
  </si>
  <si>
    <t xml:space="preserve">de esos diamantes semiterminados tenga un mayor coste. Esto es debido principalmente tanto a los costes del consumo de materias primas que ya resaltabamos en el parráfo anterior (los cuales son algo elevados por alto </t>
  </si>
  <si>
    <t>precio de compra); como, principalmente, por los altos costes de MOD y GGF que se han producido en el periodo, concretamente los GGF que son de 80000€. Esto es debido por los altos CI que tiene asociados el departamento de Cortado a la hora de cortar</t>
  </si>
  <si>
    <t xml:space="preserve">los diamantes. Estos costes indirectos principalmente se elevan por el alto monto destinado a la MOI en este departamento, por lo que se prevee que se están otorgando unos altos salarios a los trabajadores del departamento. También es </t>
  </si>
  <si>
    <t xml:space="preserve">notable la cantidad dedicada a suministros en este departamento por lo que podrían recortar algunos costes siendo más eficientes energéticamente y ahorrando lo máximo posible dichos suministros, lo cual contribuiría al cuidado mediambiental </t>
  </si>
  <si>
    <t>que es uno de los grandes e importantes objetivos que deben cumplir actualmente las empresas.</t>
  </si>
  <si>
    <t>También podemos observar que los costes unitarios del departamento de montado y pulido son elevados por los altos CI que llevan asociados nuevamente por las máquinas de montaje. En este departamento aplica la misma lógica que el anterior</t>
  </si>
  <si>
    <t>ya que esos costes indirectos son principalmente producidos por los  salarios y la cantidad destinada a suministros, por lo que ahorrar dichos suministros parece también una solución lógica</t>
  </si>
  <si>
    <t>Por último, cabe resaltar que al haber tan poco margen bruto lo que se podría hacer es tratar de ver si se puede aumentar los precios de venta de los anillos, para que así el CPV no se consuma casí todos los beneficios y su % ventas sea mucho menor;</t>
  </si>
  <si>
    <t>ya que reducir los costes indirectos de distribución (que tan solo ronsan en 1% de las ventas) no solucionaría nada. También parecería una solución tratar de reducir esos costes de RRHH que se consumen algo menos de la mitad del Margen Comercial</t>
  </si>
  <si>
    <t>de la venta de esos anillos, lo que reduce también bastante el resultado de explotación.</t>
  </si>
  <si>
    <t>*Suponemos que los kilometros de la frontera a la fabrica corresponden al departamento de aprovisionamiento</t>
  </si>
  <si>
    <t>**Como no nos dan la relación de horas hombre empleadas para cortar los diamantes, tomaremos como unidad de obra las unidades que se empiezan a cortar en este periodo</t>
  </si>
  <si>
    <t>uds empezadas a cortar**</t>
  </si>
  <si>
    <t>Punto 6*</t>
  </si>
  <si>
    <t>en la tabla de reclasificación de CI</t>
  </si>
  <si>
    <t>coste unitario unidad de obra</t>
  </si>
  <si>
    <t>Redes de Pesca</t>
  </si>
  <si>
    <t>UPCYCLING</t>
  </si>
  <si>
    <t>CoNSUMO gasóleo</t>
  </si>
  <si>
    <t>Triturado</t>
  </si>
  <si>
    <t>Fusión y Moldeado</t>
  </si>
  <si>
    <t>COSTE DE CONSUMO DE REDES TRITURADAS (PPSSTT)</t>
  </si>
  <si>
    <t>COSTE DE FASE II : FUSIÓN &amp; MOLDEADO</t>
  </si>
  <si>
    <t>Costes de consumo Fase I : Triturado</t>
  </si>
  <si>
    <t>Collar Vintage</t>
  </si>
  <si>
    <t>Collar Eternity</t>
  </si>
  <si>
    <t>COSTE DE FASE I : TRITURADO</t>
  </si>
  <si>
    <t>Redes Trituradas (PPCC)</t>
  </si>
  <si>
    <t>COSTE DE CONSUMO DE REDES DE PESCA (MMPP)</t>
  </si>
  <si>
    <t>RRHH&amp;Contabilidad</t>
  </si>
  <si>
    <t>Redes Trituradas (PPSSTT)</t>
  </si>
  <si>
    <t>Collares Vintage</t>
  </si>
  <si>
    <t>Collares Eternity</t>
  </si>
  <si>
    <t>COLLAR VINTAGE</t>
  </si>
  <si>
    <t>COLLAR ETERNITY</t>
  </si>
  <si>
    <t>Saldo deudor</t>
  </si>
  <si>
    <t>Saldo Acreedor</t>
  </si>
  <si>
    <t>Redes de Pesca trituradas en curso</t>
  </si>
  <si>
    <t>Redes de Pesca trituradas (PPSSTT)</t>
  </si>
  <si>
    <t>Compra de Redes de Pesca</t>
  </si>
  <si>
    <t>Ventas de collares "VINTAGE"</t>
  </si>
  <si>
    <t>Ventas de collares "ETERNITY"</t>
  </si>
  <si>
    <t>400 Unidades</t>
  </si>
  <si>
    <t>300 Unidades</t>
  </si>
  <si>
    <t>1000 Unidades</t>
  </si>
  <si>
    <t>200 unidades</t>
  </si>
  <si>
    <t>100 unidades</t>
  </si>
  <si>
    <t>Trituraron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</si>
</sst>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val="singleAccounting"/>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0" borderId="1" xfId="0" applyBorder="1"/>
    <xf numFmtId="43" fontId="0" fillId="0" borderId="1" xfId="1" applyFont="1" applyBorder="1"/>
    <xf numFmtId="0" fontId="2" fillId="0" borderId="0" xfId="0" applyFont="1"/>
    <xf numFmtId="0" fontId="2" fillId="0" borderId="1" xfId="0" applyFont="1" applyBorder="1"/>
    <xf numFmtId="0" fontId="2" fillId="0" borderId="1" xfId="0" applyFont="1" applyBorder="1" applyAlignment="1">
      <alignment horizontal="center"/>
    </xf>
    <xf numFmtId="0" fontId="3" fillId="0" borderId="0" xfId="0" applyFont="1"/>
    <xf numFmtId="43" fontId="0" fillId="0" borderId="0" xfId="1" applyFont="1"/>
    <xf numFmtId="43" fontId="3" fillId="0" borderId="0" xfId="1" applyFont="1"/>
    <xf numFmtId="43" fontId="0" fillId="0" borderId="0" xfId="0" applyNumberFormat="1"/>
    <xf numFmtId="43" fontId="2" fillId="0" borderId="0" xfId="1" applyFont="1"/>
    <xf numFmtId="43" fontId="4" fillId="0" borderId="0" xfId="1" applyFont="1"/>
    <xf numFmtId="43" fontId="2" fillId="2" borderId="0" xfId="1" applyFont="1" applyFill="1"/>
    <xf numFmtId="9" fontId="0" fillId="0" borderId="0" xfId="2" applyFont="1"/>
    <xf numFmtId="43" fontId="0" fillId="0" borderId="1" xfId="0" applyNumberFormat="1" applyBorder="1"/>
    <xf numFmtId="43" fontId="2" fillId="0" borderId="1" xfId="1" applyFont="1" applyBorder="1"/>
    <xf numFmtId="9" fontId="0" fillId="0" borderId="1" xfId="1" applyNumberFormat="1" applyFont="1" applyBorder="1"/>
    <xf numFmtId="43" fontId="2" fillId="2" borderId="1" xfId="1" applyFont="1" applyFill="1" applyBorder="1"/>
    <xf numFmtId="43" fontId="0" fillId="0" borderId="0" xfId="1" applyFont="1" applyFill="1" applyBorder="1"/>
    <xf numFmtId="0" fontId="2" fillId="2" borderId="0" xfId="0" applyFont="1" applyFill="1"/>
    <xf numFmtId="43" fontId="2" fillId="2" borderId="0" xfId="0" applyNumberFormat="1" applyFont="1" applyFill="1"/>
    <xf numFmtId="43" fontId="1" fillId="0" borderId="1" xfId="1" applyFont="1" applyBorder="1"/>
    <xf numFmtId="9" fontId="0" fillId="0" borderId="1" xfId="2" applyFont="1" applyBorder="1"/>
    <xf numFmtId="43" fontId="0" fillId="3" borderId="1" xfId="1" applyFont="1" applyFill="1" applyBorder="1"/>
    <xf numFmtId="43" fontId="0" fillId="4" borderId="1" xfId="1" applyFont="1" applyFill="1" applyBorder="1"/>
    <xf numFmtId="9" fontId="0" fillId="0" borderId="2" xfId="2" applyFont="1" applyBorder="1"/>
    <xf numFmtId="43" fontId="2" fillId="5" borderId="1" xfId="1" applyFont="1" applyFill="1" applyBorder="1"/>
    <xf numFmtId="43" fontId="0" fillId="2" borderId="1" xfId="1" applyFont="1" applyFill="1" applyBorder="1"/>
    <xf numFmtId="0" fontId="2" fillId="0" borderId="0" xfId="0" applyFont="1" applyAlignment="1">
      <alignment horizontal="center"/>
    </xf>
    <xf numFmtId="0" fontId="2" fillId="0" borderId="0" xfId="0" applyFont="1" applyBorder="1" applyAlignment="1">
      <alignment horizontal="center"/>
    </xf>
    <xf numFmtId="43" fontId="0" fillId="0" borderId="0" xfId="1" applyFont="1" applyBorder="1"/>
    <xf numFmtId="43" fontId="5" fillId="0" borderId="0" xfId="1" applyFon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333375</xdr:colOff>
      <xdr:row>2</xdr:row>
      <xdr:rowOff>123825</xdr:rowOff>
    </xdr:from>
    <xdr:to>
      <xdr:col>5</xdr:col>
      <xdr:colOff>657225</xdr:colOff>
      <xdr:row>7</xdr:row>
      <xdr:rowOff>9525</xdr:rowOff>
    </xdr:to>
    <xdr:sp macro="" textlink="">
      <xdr:nvSpPr>
        <xdr:cNvPr id="2" name="Flecha: pentágono 1">
          <a:extLst>
            <a:ext uri="{FF2B5EF4-FFF2-40B4-BE49-F238E27FC236}">
              <a16:creationId xmlns="" xmlns:a16="http://schemas.microsoft.com/office/drawing/2014/main" id="{F8D02DE0-ECA9-421D-BEB7-0FD603E0AFB1}"/>
            </a:ext>
          </a:extLst>
        </xdr:cNvPr>
        <xdr:cNvSpPr/>
      </xdr:nvSpPr>
      <xdr:spPr>
        <a:xfrm>
          <a:off x="2619375" y="504825"/>
          <a:ext cx="1847850" cy="8382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APROVISIONAMIENTO</a:t>
          </a:r>
        </a:p>
      </xdr:txBody>
    </xdr:sp>
    <xdr:clientData/>
  </xdr:twoCellAnchor>
  <xdr:twoCellAnchor>
    <xdr:from>
      <xdr:col>6</xdr:col>
      <xdr:colOff>190500</xdr:colOff>
      <xdr:row>2</xdr:row>
      <xdr:rowOff>104775</xdr:rowOff>
    </xdr:from>
    <xdr:to>
      <xdr:col>8</xdr:col>
      <xdr:colOff>514350</xdr:colOff>
      <xdr:row>6</xdr:row>
      <xdr:rowOff>180975</xdr:rowOff>
    </xdr:to>
    <xdr:sp macro="" textlink="">
      <xdr:nvSpPr>
        <xdr:cNvPr id="3" name="Flecha: pentágono 2">
          <a:extLst>
            <a:ext uri="{FF2B5EF4-FFF2-40B4-BE49-F238E27FC236}">
              <a16:creationId xmlns="" xmlns:a16="http://schemas.microsoft.com/office/drawing/2014/main" id="{7CFCA8B1-2158-42F6-97F2-B1F38AD7AEF3}"/>
            </a:ext>
          </a:extLst>
        </xdr:cNvPr>
        <xdr:cNvSpPr/>
      </xdr:nvSpPr>
      <xdr:spPr>
        <a:xfrm>
          <a:off x="4762500" y="485775"/>
          <a:ext cx="1847850" cy="8382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TRITURADO</a:t>
          </a:r>
        </a:p>
      </xdr:txBody>
    </xdr:sp>
    <xdr:clientData/>
  </xdr:twoCellAnchor>
  <xdr:twoCellAnchor>
    <xdr:from>
      <xdr:col>12</xdr:col>
      <xdr:colOff>9525</xdr:colOff>
      <xdr:row>2</xdr:row>
      <xdr:rowOff>76200</xdr:rowOff>
    </xdr:from>
    <xdr:to>
      <xdr:col>14</xdr:col>
      <xdr:colOff>333375</xdr:colOff>
      <xdr:row>6</xdr:row>
      <xdr:rowOff>152400</xdr:rowOff>
    </xdr:to>
    <xdr:sp macro="" textlink="">
      <xdr:nvSpPr>
        <xdr:cNvPr id="4" name="Flecha: pentágono 3">
          <a:extLst>
            <a:ext uri="{FF2B5EF4-FFF2-40B4-BE49-F238E27FC236}">
              <a16:creationId xmlns="" xmlns:a16="http://schemas.microsoft.com/office/drawing/2014/main" id="{D936DBC6-16DF-4170-BC4B-6400CC4B9C45}"/>
            </a:ext>
          </a:extLst>
        </xdr:cNvPr>
        <xdr:cNvSpPr/>
      </xdr:nvSpPr>
      <xdr:spPr>
        <a:xfrm>
          <a:off x="9153525" y="457200"/>
          <a:ext cx="1847850" cy="8382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FUSIÓN</a:t>
          </a:r>
          <a:r>
            <a:rPr lang="es-ES" sz="1100" baseline="0"/>
            <a:t> Y MOLDEADO</a:t>
          </a:r>
          <a:endParaRPr lang="es-ES" sz="1100"/>
        </a:p>
      </xdr:txBody>
    </xdr:sp>
    <xdr:clientData/>
  </xdr:twoCellAnchor>
  <xdr:twoCellAnchor>
    <xdr:from>
      <xdr:col>18</xdr:col>
      <xdr:colOff>495300</xdr:colOff>
      <xdr:row>2</xdr:row>
      <xdr:rowOff>0</xdr:rowOff>
    </xdr:from>
    <xdr:to>
      <xdr:col>21</xdr:col>
      <xdr:colOff>57150</xdr:colOff>
      <xdr:row>6</xdr:row>
      <xdr:rowOff>76200</xdr:rowOff>
    </xdr:to>
    <xdr:sp macro="" textlink="">
      <xdr:nvSpPr>
        <xdr:cNvPr id="5" name="Flecha: pentágono 4">
          <a:extLst>
            <a:ext uri="{FF2B5EF4-FFF2-40B4-BE49-F238E27FC236}">
              <a16:creationId xmlns="" xmlns:a16="http://schemas.microsoft.com/office/drawing/2014/main" id="{4731EC95-E8FD-4AB7-BCA7-D88ED9A13914}"/>
            </a:ext>
          </a:extLst>
        </xdr:cNvPr>
        <xdr:cNvSpPr/>
      </xdr:nvSpPr>
      <xdr:spPr>
        <a:xfrm>
          <a:off x="14211300" y="381000"/>
          <a:ext cx="1847850" cy="8382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DISTRIBUCIÓN</a:t>
          </a:r>
        </a:p>
      </xdr:txBody>
    </xdr:sp>
    <xdr:clientData/>
  </xdr:twoCellAnchor>
  <xdr:twoCellAnchor>
    <xdr:from>
      <xdr:col>9</xdr:col>
      <xdr:colOff>0</xdr:colOff>
      <xdr:row>18</xdr:row>
      <xdr:rowOff>0</xdr:rowOff>
    </xdr:from>
    <xdr:to>
      <xdr:col>10</xdr:col>
      <xdr:colOff>657225</xdr:colOff>
      <xdr:row>22</xdr:row>
      <xdr:rowOff>76200</xdr:rowOff>
    </xdr:to>
    <xdr:sp macro="" textlink="">
      <xdr:nvSpPr>
        <xdr:cNvPr id="9" name="Flecha: pentágono 2">
          <a:extLst>
            <a:ext uri="{FF2B5EF4-FFF2-40B4-BE49-F238E27FC236}">
              <a16:creationId xmlns="" xmlns:a16="http://schemas.microsoft.com/office/drawing/2014/main" id="{7CFCA8B1-2158-42F6-97F2-B1F38AD7AEF3}"/>
            </a:ext>
          </a:extLst>
        </xdr:cNvPr>
        <xdr:cNvSpPr/>
      </xdr:nvSpPr>
      <xdr:spPr>
        <a:xfrm>
          <a:off x="6858000" y="3429000"/>
          <a:ext cx="1847850" cy="8382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RRHH</a:t>
          </a:r>
          <a:r>
            <a:rPr lang="es-ES" sz="1100" baseline="0"/>
            <a:t> &amp; CONTABILIDAD</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selection activeCell="F29" sqref="F29"/>
    </sheetView>
  </sheetViews>
  <sheetFormatPr baseColWidth="10" defaultRowHeight="15" x14ac:dyDescent="0.25"/>
  <cols>
    <col min="1" max="1" width="38.42578125" bestFit="1" customWidth="1"/>
    <col min="2" max="2" width="13" bestFit="1" customWidth="1"/>
    <col min="3" max="3" width="13" customWidth="1"/>
    <col min="4" max="4" width="14.5703125" bestFit="1" customWidth="1"/>
    <col min="5" max="5" width="20.5703125" customWidth="1"/>
    <col min="6" max="6" width="14.5703125" bestFit="1" customWidth="1"/>
    <col min="8" max="8" width="21" bestFit="1" customWidth="1"/>
  </cols>
  <sheetData>
    <row r="1" spans="1:9" x14ac:dyDescent="0.25">
      <c r="A1" s="3" t="s">
        <v>143</v>
      </c>
    </row>
    <row r="2" spans="1:9" x14ac:dyDescent="0.25">
      <c r="A2" s="4" t="s">
        <v>26</v>
      </c>
      <c r="B2" s="5" t="s">
        <v>25</v>
      </c>
      <c r="C2" s="29"/>
      <c r="D2" s="3" t="s">
        <v>161</v>
      </c>
      <c r="E2" s="28" t="s">
        <v>162</v>
      </c>
      <c r="H2" s="6" t="s">
        <v>53</v>
      </c>
    </row>
    <row r="3" spans="1:9" x14ac:dyDescent="0.25">
      <c r="A3" s="1" t="s">
        <v>0</v>
      </c>
      <c r="B3" s="2">
        <v>500000</v>
      </c>
      <c r="C3" s="30"/>
      <c r="D3" s="9">
        <f>+B3</f>
        <v>500000</v>
      </c>
    </row>
    <row r="4" spans="1:9" x14ac:dyDescent="0.25">
      <c r="A4" s="1" t="s">
        <v>2</v>
      </c>
      <c r="B4" s="2">
        <v>400000</v>
      </c>
      <c r="C4" s="30"/>
      <c r="D4" s="9">
        <f t="shared" ref="D4:D10" si="0">+B4</f>
        <v>400000</v>
      </c>
      <c r="H4" t="s">
        <v>54</v>
      </c>
      <c r="I4" s="9">
        <f>B10</f>
        <v>250</v>
      </c>
    </row>
    <row r="5" spans="1:9" x14ac:dyDescent="0.25">
      <c r="A5" s="1" t="s">
        <v>1</v>
      </c>
      <c r="B5" s="2">
        <v>200000</v>
      </c>
      <c r="C5" s="30"/>
      <c r="D5" s="9">
        <f t="shared" si="0"/>
        <v>200000</v>
      </c>
      <c r="H5" t="s">
        <v>55</v>
      </c>
      <c r="I5" s="9">
        <f>I4/1000</f>
        <v>0.25</v>
      </c>
    </row>
    <row r="6" spans="1:9" x14ac:dyDescent="0.25">
      <c r="A6" s="1" t="s">
        <v>3</v>
      </c>
      <c r="B6" s="2">
        <v>30000</v>
      </c>
      <c r="C6" s="30"/>
      <c r="D6" s="9">
        <f t="shared" si="0"/>
        <v>30000</v>
      </c>
    </row>
    <row r="7" spans="1:9" x14ac:dyDescent="0.25">
      <c r="A7" s="1" t="s">
        <v>4</v>
      </c>
      <c r="B7" s="2">
        <v>1250</v>
      </c>
      <c r="C7" s="30"/>
      <c r="D7" s="9">
        <f t="shared" si="0"/>
        <v>1250</v>
      </c>
      <c r="H7" t="s">
        <v>56</v>
      </c>
      <c r="I7">
        <v>600</v>
      </c>
    </row>
    <row r="8" spans="1:9" x14ac:dyDescent="0.25">
      <c r="A8" s="1" t="s">
        <v>5</v>
      </c>
      <c r="B8" s="2">
        <v>5000</v>
      </c>
      <c r="C8" s="30"/>
      <c r="D8" s="9">
        <f t="shared" si="0"/>
        <v>5000</v>
      </c>
      <c r="H8" t="s">
        <v>57</v>
      </c>
      <c r="I8">
        <v>400</v>
      </c>
    </row>
    <row r="9" spans="1:9" x14ac:dyDescent="0.25">
      <c r="A9" s="1" t="s">
        <v>6</v>
      </c>
      <c r="B9" s="2">
        <v>2000</v>
      </c>
      <c r="C9" s="30"/>
      <c r="D9" s="9">
        <f t="shared" si="0"/>
        <v>2000</v>
      </c>
    </row>
    <row r="10" spans="1:9" x14ac:dyDescent="0.25">
      <c r="A10" s="1" t="s">
        <v>7</v>
      </c>
      <c r="B10" s="2">
        <v>250</v>
      </c>
      <c r="C10" s="30"/>
      <c r="D10" s="9">
        <f t="shared" si="0"/>
        <v>250</v>
      </c>
    </row>
    <row r="11" spans="1:9" x14ac:dyDescent="0.25">
      <c r="A11" s="1" t="s">
        <v>8</v>
      </c>
      <c r="B11" s="2">
        <v>350000</v>
      </c>
      <c r="C11" s="30"/>
      <c r="E11" s="9">
        <f>+B11</f>
        <v>350000</v>
      </c>
    </row>
    <row r="12" spans="1:9" x14ac:dyDescent="0.25">
      <c r="A12" s="1" t="s">
        <v>9</v>
      </c>
      <c r="B12" s="2">
        <v>600000</v>
      </c>
      <c r="C12" s="30"/>
      <c r="E12" s="9">
        <f t="shared" ref="E12:E15" si="1">+B12</f>
        <v>600000</v>
      </c>
    </row>
    <row r="13" spans="1:9" x14ac:dyDescent="0.25">
      <c r="A13" s="1" t="s">
        <v>10</v>
      </c>
      <c r="B13" s="2">
        <v>120000</v>
      </c>
      <c r="C13" s="30"/>
      <c r="E13" s="9">
        <f t="shared" si="1"/>
        <v>120000</v>
      </c>
    </row>
    <row r="14" spans="1:9" x14ac:dyDescent="0.25">
      <c r="A14" s="1" t="s">
        <v>27</v>
      </c>
      <c r="B14" s="2">
        <v>100000</v>
      </c>
      <c r="C14" s="30"/>
      <c r="E14" s="9">
        <f t="shared" si="1"/>
        <v>100000</v>
      </c>
    </row>
    <row r="15" spans="1:9" x14ac:dyDescent="0.25">
      <c r="A15" s="1" t="s">
        <v>11</v>
      </c>
      <c r="B15" s="2">
        <v>50000</v>
      </c>
      <c r="C15" s="30"/>
      <c r="E15" s="9">
        <f t="shared" si="1"/>
        <v>50000</v>
      </c>
    </row>
    <row r="16" spans="1:9" x14ac:dyDescent="0.25">
      <c r="A16" s="1" t="s">
        <v>12</v>
      </c>
      <c r="B16" s="2">
        <v>1460</v>
      </c>
      <c r="C16" s="30"/>
      <c r="D16" s="9">
        <f>+B16</f>
        <v>1460</v>
      </c>
    </row>
    <row r="17" spans="1:5" x14ac:dyDescent="0.25">
      <c r="A17" s="1" t="s">
        <v>13</v>
      </c>
      <c r="B17" s="2">
        <v>4000</v>
      </c>
      <c r="C17" s="30"/>
      <c r="E17" s="9">
        <f>+B17</f>
        <v>4000</v>
      </c>
    </row>
    <row r="18" spans="1:5" x14ac:dyDescent="0.25">
      <c r="A18" s="1" t="s">
        <v>163</v>
      </c>
      <c r="B18" s="2">
        <v>8000</v>
      </c>
      <c r="C18" s="30" t="s">
        <v>168</v>
      </c>
      <c r="D18" s="9">
        <f>+B18</f>
        <v>8000</v>
      </c>
    </row>
    <row r="19" spans="1:5" x14ac:dyDescent="0.25">
      <c r="A19" s="1" t="s">
        <v>164</v>
      </c>
      <c r="B19" s="2">
        <v>23000</v>
      </c>
      <c r="C19" s="30" t="s">
        <v>170</v>
      </c>
      <c r="D19" s="9">
        <f t="shared" ref="D19:D21" si="2">+B19</f>
        <v>23000</v>
      </c>
    </row>
    <row r="20" spans="1:5" x14ac:dyDescent="0.25">
      <c r="A20" s="1" t="s">
        <v>165</v>
      </c>
      <c r="B20" s="2">
        <v>26100</v>
      </c>
      <c r="C20" s="30" t="s">
        <v>169</v>
      </c>
      <c r="D20" s="9">
        <f t="shared" si="2"/>
        <v>26100</v>
      </c>
    </row>
    <row r="21" spans="1:5" x14ac:dyDescent="0.25">
      <c r="A21" s="1" t="s">
        <v>14</v>
      </c>
      <c r="B21" s="2">
        <v>1050</v>
      </c>
      <c r="C21" s="30"/>
      <c r="D21" s="9">
        <f t="shared" si="2"/>
        <v>1050</v>
      </c>
    </row>
    <row r="22" spans="1:5" x14ac:dyDescent="0.25">
      <c r="A22" s="1" t="s">
        <v>15</v>
      </c>
      <c r="B22" s="2">
        <v>20000</v>
      </c>
      <c r="C22" s="30"/>
      <c r="E22" s="9">
        <f>+B22</f>
        <v>20000</v>
      </c>
    </row>
    <row r="23" spans="1:5" x14ac:dyDescent="0.25">
      <c r="A23" s="1" t="s">
        <v>16</v>
      </c>
      <c r="B23" s="2">
        <v>10000</v>
      </c>
      <c r="C23" s="30"/>
      <c r="E23" s="9">
        <f t="shared" ref="E23:E25" si="3">+B23</f>
        <v>10000</v>
      </c>
    </row>
    <row r="24" spans="1:5" x14ac:dyDescent="0.25">
      <c r="A24" s="1" t="s">
        <v>17</v>
      </c>
      <c r="B24" s="2">
        <v>14000</v>
      </c>
      <c r="C24" s="30"/>
      <c r="E24" s="9">
        <f t="shared" si="3"/>
        <v>14000</v>
      </c>
    </row>
    <row r="25" spans="1:5" x14ac:dyDescent="0.25">
      <c r="A25" s="1" t="s">
        <v>18</v>
      </c>
      <c r="B25" s="2">
        <v>25000</v>
      </c>
      <c r="C25" s="30"/>
      <c r="E25" s="9">
        <f t="shared" si="3"/>
        <v>25000</v>
      </c>
    </row>
    <row r="26" spans="1:5" x14ac:dyDescent="0.25">
      <c r="A26" s="1" t="s">
        <v>19</v>
      </c>
      <c r="B26" s="2">
        <v>94000</v>
      </c>
      <c r="C26" s="30"/>
      <c r="D26" s="9">
        <f>+B26</f>
        <v>94000</v>
      </c>
    </row>
    <row r="27" spans="1:5" x14ac:dyDescent="0.25">
      <c r="A27" s="1" t="s">
        <v>20</v>
      </c>
      <c r="B27" s="2">
        <v>30000</v>
      </c>
      <c r="C27" s="30"/>
      <c r="D27" s="9">
        <f>+B27</f>
        <v>30000</v>
      </c>
    </row>
    <row r="28" spans="1:5" x14ac:dyDescent="0.25">
      <c r="A28" s="1" t="s">
        <v>21</v>
      </c>
      <c r="B28" s="2">
        <v>500</v>
      </c>
      <c r="C28" s="30"/>
      <c r="D28" s="9">
        <f>+B28</f>
        <v>500</v>
      </c>
    </row>
    <row r="29" spans="1:5" x14ac:dyDescent="0.25">
      <c r="A29" s="1" t="s">
        <v>22</v>
      </c>
      <c r="B29" s="2">
        <v>450</v>
      </c>
      <c r="C29" s="30"/>
      <c r="D29" s="9">
        <f>+B29</f>
        <v>450</v>
      </c>
    </row>
    <row r="30" spans="1:5" x14ac:dyDescent="0.25">
      <c r="A30" s="1" t="s">
        <v>23</v>
      </c>
      <c r="B30" s="2" t="s">
        <v>24</v>
      </c>
      <c r="C30" s="30"/>
    </row>
    <row r="31" spans="1:5" x14ac:dyDescent="0.25">
      <c r="A31" s="1" t="s">
        <v>166</v>
      </c>
      <c r="B31" s="2">
        <v>100000</v>
      </c>
      <c r="C31" s="30" t="s">
        <v>171</v>
      </c>
      <c r="E31" s="9">
        <f>+B31</f>
        <v>100000</v>
      </c>
    </row>
    <row r="32" spans="1:5" x14ac:dyDescent="0.25">
      <c r="A32" s="1" t="s">
        <v>167</v>
      </c>
      <c r="B32" s="2">
        <v>80000</v>
      </c>
      <c r="C32" s="30" t="s">
        <v>172</v>
      </c>
      <c r="E32" s="9">
        <f>+B32</f>
        <v>80000</v>
      </c>
    </row>
    <row r="33" spans="4:5" x14ac:dyDescent="0.25">
      <c r="D33" s="9">
        <f>SUM(D3:D32)</f>
        <v>1323060</v>
      </c>
      <c r="E33" s="9">
        <f>SUM(E3:E32)</f>
        <v>1473000</v>
      </c>
    </row>
    <row r="35" spans="4:5" x14ac:dyDescent="0.25">
      <c r="D35" s="9"/>
      <c r="E35" s="9"/>
    </row>
    <row r="37" spans="4:5" x14ac:dyDescent="0.25">
      <c r="D37" s="19" t="s">
        <v>23</v>
      </c>
      <c r="E37" s="20">
        <f>+E33-D33</f>
        <v>149940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2"/>
  <sheetViews>
    <sheetView zoomScale="80" zoomScaleNormal="80" workbookViewId="0">
      <selection activeCell="C21" sqref="C21"/>
    </sheetView>
  </sheetViews>
  <sheetFormatPr baseColWidth="10" defaultRowHeight="15" x14ac:dyDescent="0.25"/>
  <cols>
    <col min="10" max="10" width="17.85546875" customWidth="1"/>
    <col min="16" max="16" width="13.7109375" customWidth="1"/>
  </cols>
  <sheetData>
    <row r="1" spans="1:18" s="7" customFormat="1" ht="18.75" x14ac:dyDescent="0.3">
      <c r="A1" s="31" t="s">
        <v>143</v>
      </c>
    </row>
    <row r="2" spans="1:18" s="7" customFormat="1" x14ac:dyDescent="0.25"/>
    <row r="3" spans="1:18" s="7" customFormat="1" x14ac:dyDescent="0.25">
      <c r="A3" s="7" t="s">
        <v>142</v>
      </c>
      <c r="J3" s="7" t="s">
        <v>156</v>
      </c>
      <c r="P3" s="7" t="s">
        <v>157</v>
      </c>
    </row>
    <row r="4" spans="1:18" s="7" customFormat="1" x14ac:dyDescent="0.25">
      <c r="J4" s="7" t="s">
        <v>29</v>
      </c>
      <c r="K4" s="7">
        <v>1000</v>
      </c>
      <c r="L4" s="7" t="s">
        <v>33</v>
      </c>
      <c r="P4" s="7" t="s">
        <v>29</v>
      </c>
      <c r="Q4" s="7">
        <v>0</v>
      </c>
      <c r="R4" s="7" t="s">
        <v>33</v>
      </c>
    </row>
    <row r="5" spans="1:18" s="7" customFormat="1" x14ac:dyDescent="0.25">
      <c r="A5" s="7" t="s">
        <v>29</v>
      </c>
      <c r="B5" s="7">
        <v>0</v>
      </c>
      <c r="C5" s="7" t="s">
        <v>33</v>
      </c>
      <c r="J5" s="7" t="s">
        <v>173</v>
      </c>
      <c r="K5" s="7">
        <f>H12</f>
        <v>4000</v>
      </c>
      <c r="L5" s="7" t="s">
        <v>33</v>
      </c>
      <c r="P5" s="7" t="s">
        <v>36</v>
      </c>
      <c r="Q5" s="7">
        <v>200</v>
      </c>
      <c r="R5" s="7" t="s">
        <v>33</v>
      </c>
    </row>
    <row r="6" spans="1:18" s="7" customFormat="1" x14ac:dyDescent="0.25">
      <c r="A6" s="7" t="s">
        <v>30</v>
      </c>
      <c r="B6" s="7">
        <v>300</v>
      </c>
      <c r="C6" s="7" t="s">
        <v>33</v>
      </c>
      <c r="J6" s="7" t="s">
        <v>39</v>
      </c>
      <c r="K6" s="7">
        <v>2000</v>
      </c>
      <c r="L6" s="7" t="s">
        <v>33</v>
      </c>
      <c r="P6" s="7" t="s">
        <v>37</v>
      </c>
      <c r="Q6" s="7">
        <v>200</v>
      </c>
      <c r="R6" s="7" t="s">
        <v>33</v>
      </c>
    </row>
    <row r="7" spans="1:18" s="7" customFormat="1" x14ac:dyDescent="0.25">
      <c r="A7" s="7" t="s">
        <v>31</v>
      </c>
      <c r="B7" s="7">
        <v>250</v>
      </c>
      <c r="C7" s="7" t="s">
        <v>33</v>
      </c>
      <c r="J7" s="7" t="s">
        <v>40</v>
      </c>
      <c r="K7" s="7">
        <v>1600</v>
      </c>
      <c r="L7" s="7" t="s">
        <v>33</v>
      </c>
      <c r="P7" s="7" t="s">
        <v>32</v>
      </c>
      <c r="Q7" s="7">
        <f>Q4+Q5-Q6</f>
        <v>0</v>
      </c>
      <c r="R7" s="7" t="s">
        <v>33</v>
      </c>
    </row>
    <row r="8" spans="1:18" s="7" customFormat="1" x14ac:dyDescent="0.25">
      <c r="A8" s="7" t="s">
        <v>32</v>
      </c>
      <c r="B8" s="7">
        <f>B5+B6-B7</f>
        <v>50</v>
      </c>
      <c r="C8" s="7" t="s">
        <v>33</v>
      </c>
      <c r="J8" s="7" t="s">
        <v>32</v>
      </c>
      <c r="K8" s="7">
        <f>K4+K5-K6-K7</f>
        <v>1400</v>
      </c>
      <c r="L8" s="7" t="s">
        <v>33</v>
      </c>
    </row>
    <row r="9" spans="1:18" s="7" customFormat="1" x14ac:dyDescent="0.25">
      <c r="G9" s="7" t="s">
        <v>153</v>
      </c>
    </row>
    <row r="10" spans="1:18" s="7" customFormat="1" x14ac:dyDescent="0.25">
      <c r="G10" s="7" t="s">
        <v>29</v>
      </c>
      <c r="H10" s="7">
        <v>400</v>
      </c>
      <c r="I10" s="7" t="s">
        <v>33</v>
      </c>
      <c r="P10" s="7" t="s">
        <v>158</v>
      </c>
    </row>
    <row r="11" spans="1:18" s="7" customFormat="1" x14ac:dyDescent="0.25">
      <c r="G11" s="7" t="s">
        <v>34</v>
      </c>
      <c r="H11" s="7">
        <f>H12+H13-H10</f>
        <v>4100</v>
      </c>
      <c r="I11" s="7" t="s">
        <v>33</v>
      </c>
      <c r="P11" s="7" t="s">
        <v>29</v>
      </c>
      <c r="Q11" s="7">
        <v>0</v>
      </c>
      <c r="R11" s="7" t="s">
        <v>33</v>
      </c>
    </row>
    <row r="12" spans="1:18" s="7" customFormat="1" x14ac:dyDescent="0.25">
      <c r="G12" s="7" t="s">
        <v>35</v>
      </c>
      <c r="H12" s="7">
        <v>4000</v>
      </c>
      <c r="I12" s="7" t="s">
        <v>33</v>
      </c>
      <c r="P12" s="7" t="s">
        <v>36</v>
      </c>
      <c r="Q12" s="7">
        <v>100</v>
      </c>
      <c r="R12" s="7" t="s">
        <v>33</v>
      </c>
    </row>
    <row r="13" spans="1:18" s="7" customFormat="1" x14ac:dyDescent="0.25">
      <c r="G13" s="7" t="s">
        <v>32</v>
      </c>
      <c r="H13" s="7">
        <v>500</v>
      </c>
      <c r="I13" s="7" t="s">
        <v>33</v>
      </c>
      <c r="P13" s="7" t="s">
        <v>37</v>
      </c>
      <c r="Q13" s="7">
        <v>100</v>
      </c>
      <c r="R13" s="7" t="s">
        <v>33</v>
      </c>
    </row>
    <row r="14" spans="1:18" s="7" customFormat="1" x14ac:dyDescent="0.25">
      <c r="P14" s="7" t="s">
        <v>32</v>
      </c>
      <c r="Q14" s="7">
        <f>Q11+Q12-Q13</f>
        <v>0</v>
      </c>
      <c r="R14" s="7" t="s">
        <v>33</v>
      </c>
    </row>
    <row r="15" spans="1:18" s="7" customFormat="1" x14ac:dyDescent="0.25">
      <c r="G15" s="7" t="s">
        <v>38</v>
      </c>
    </row>
    <row r="16" spans="1:18"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7" customFormat="1" x14ac:dyDescent="0.25"/>
    <row r="28" s="7" customFormat="1" x14ac:dyDescent="0.25"/>
    <row r="29" s="7" customFormat="1" x14ac:dyDescent="0.25"/>
    <row r="30" s="7" customFormat="1" x14ac:dyDescent="0.25"/>
    <row r="31" s="7" customFormat="1" x14ac:dyDescent="0.25"/>
    <row r="32"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
  <sheetViews>
    <sheetView zoomScale="80" zoomScaleNormal="80" workbookViewId="0"/>
  </sheetViews>
  <sheetFormatPr baseColWidth="10" defaultRowHeight="15" x14ac:dyDescent="0.25"/>
  <cols>
    <col min="1" max="1" width="44.42578125" customWidth="1"/>
    <col min="2" max="2" width="32.85546875" customWidth="1"/>
    <col min="3" max="3" width="16.7109375" customWidth="1"/>
    <col min="4" max="4" width="19.5703125" bestFit="1" customWidth="1"/>
    <col min="5" max="5" width="30.28515625" customWidth="1"/>
    <col min="6" max="6" width="23.42578125" customWidth="1"/>
    <col min="7" max="7" width="19.5703125" customWidth="1"/>
    <col min="8" max="8" width="17.7109375" customWidth="1"/>
    <col min="12" max="12" width="15.7109375" customWidth="1"/>
    <col min="14" max="14" width="19.28515625" customWidth="1"/>
  </cols>
  <sheetData>
    <row r="1" spans="1:10" x14ac:dyDescent="0.25">
      <c r="A1" s="3" t="s">
        <v>143</v>
      </c>
    </row>
    <row r="2" spans="1:10" s="7" customFormat="1" x14ac:dyDescent="0.25">
      <c r="A2" s="8" t="s">
        <v>28</v>
      </c>
    </row>
    <row r="3" spans="1:10" s="7" customFormat="1" x14ac:dyDescent="0.25"/>
    <row r="4" spans="1:10" s="7" customFormat="1" x14ac:dyDescent="0.25">
      <c r="A4" s="2" t="s">
        <v>41</v>
      </c>
      <c r="B4" s="2" t="s">
        <v>42</v>
      </c>
      <c r="C4" s="2" t="s">
        <v>43</v>
      </c>
      <c r="D4" s="2" t="s">
        <v>44</v>
      </c>
      <c r="E4" s="2" t="s">
        <v>145</v>
      </c>
      <c r="F4" s="2" t="s">
        <v>146</v>
      </c>
      <c r="G4" s="2" t="s">
        <v>45</v>
      </c>
      <c r="H4" s="2" t="s">
        <v>155</v>
      </c>
      <c r="I4" s="2" t="s">
        <v>48</v>
      </c>
    </row>
    <row r="5" spans="1:10" s="7" customFormat="1" x14ac:dyDescent="0.25">
      <c r="A5" s="2" t="s">
        <v>46</v>
      </c>
      <c r="B5" s="2" t="s">
        <v>47</v>
      </c>
      <c r="C5" s="2">
        <f>'Datos de entrada'!B7</f>
        <v>1250</v>
      </c>
      <c r="D5" s="2">
        <v>0</v>
      </c>
      <c r="E5" s="2">
        <f>C5*0.4</f>
        <v>500</v>
      </c>
      <c r="F5" s="2">
        <f>C5*0.4</f>
        <v>500</v>
      </c>
      <c r="G5" s="2"/>
      <c r="H5" s="2">
        <f>C5*0.2</f>
        <v>250</v>
      </c>
      <c r="I5" s="2" t="str">
        <f>IF(C5=SUM(D5:H5),"OK","NO OK")</f>
        <v>OK</v>
      </c>
    </row>
    <row r="6" spans="1:10" s="7" customFormat="1" x14ac:dyDescent="0.25">
      <c r="A6" s="2" t="s">
        <v>144</v>
      </c>
      <c r="B6" s="2" t="s">
        <v>49</v>
      </c>
      <c r="C6" s="2">
        <f>'Datos de entrada'!B21</f>
        <v>1050</v>
      </c>
      <c r="D6" s="2">
        <v>0</v>
      </c>
      <c r="E6" s="2">
        <v>0</v>
      </c>
      <c r="F6" s="2">
        <v>0</v>
      </c>
      <c r="G6" s="2">
        <f>C6</f>
        <v>1050</v>
      </c>
      <c r="H6" s="2">
        <v>0</v>
      </c>
      <c r="I6" s="2" t="str">
        <f t="shared" ref="I6:I14" si="0">IF(C6=SUM(D6:H6),"OK","NO OK")</f>
        <v>OK</v>
      </c>
    </row>
    <row r="7" spans="1:10" s="7" customFormat="1" x14ac:dyDescent="0.25">
      <c r="A7" s="2" t="s">
        <v>50</v>
      </c>
      <c r="B7" s="2" t="s">
        <v>51</v>
      </c>
      <c r="C7" s="2">
        <f>SUM(D7:H7)</f>
        <v>93500</v>
      </c>
      <c r="D7" s="2">
        <v>0</v>
      </c>
      <c r="E7" s="2">
        <v>59000</v>
      </c>
      <c r="F7" s="2">
        <v>25000</v>
      </c>
      <c r="G7" s="2">
        <v>700</v>
      </c>
      <c r="H7" s="2">
        <v>8800</v>
      </c>
      <c r="I7" s="2" t="str">
        <f t="shared" si="0"/>
        <v>OK</v>
      </c>
    </row>
    <row r="8" spans="1:10" s="7" customFormat="1" x14ac:dyDescent="0.25">
      <c r="A8" s="2" t="s">
        <v>20</v>
      </c>
      <c r="B8" s="2" t="s">
        <v>52</v>
      </c>
      <c r="C8" s="2">
        <f>'Datos de entrada'!B27</f>
        <v>30000</v>
      </c>
      <c r="D8" s="2">
        <v>0</v>
      </c>
      <c r="E8" s="2">
        <f>0.5*C8</f>
        <v>15000</v>
      </c>
      <c r="F8" s="2">
        <f>0.4*C8</f>
        <v>12000</v>
      </c>
      <c r="G8" s="2"/>
      <c r="H8" s="2">
        <f>0.1*C8</f>
        <v>3000</v>
      </c>
      <c r="I8" s="2" t="str">
        <f t="shared" si="0"/>
        <v>OK</v>
      </c>
    </row>
    <row r="9" spans="1:10" x14ac:dyDescent="0.25">
      <c r="A9" s="2" t="s">
        <v>59</v>
      </c>
      <c r="B9" s="2" t="s">
        <v>58</v>
      </c>
      <c r="C9" s="14">
        <f>'Datos de entrada'!B28</f>
        <v>500</v>
      </c>
      <c r="D9" s="1"/>
      <c r="E9" s="14">
        <f>C9</f>
        <v>500</v>
      </c>
      <c r="F9" s="1"/>
      <c r="G9" s="1"/>
      <c r="H9" s="1"/>
      <c r="I9" s="2" t="str">
        <f t="shared" si="0"/>
        <v>OK</v>
      </c>
    </row>
    <row r="10" spans="1:10" s="7" customFormat="1" x14ac:dyDescent="0.25">
      <c r="A10" s="2" t="s">
        <v>66</v>
      </c>
      <c r="B10" s="2" t="s">
        <v>139</v>
      </c>
      <c r="C10" s="2">
        <f>'Datos de entrada'!I4</f>
        <v>250</v>
      </c>
      <c r="D10" s="2">
        <f>'Datos de entrada'!I5*'Datos de entrada'!I7</f>
        <v>150</v>
      </c>
      <c r="E10" s="2">
        <v>0</v>
      </c>
      <c r="F10" s="2">
        <v>0</v>
      </c>
      <c r="G10" s="2">
        <f>'Datos de entrada'!I5*'Datos de entrada'!I8</f>
        <v>100</v>
      </c>
      <c r="H10" s="2">
        <v>0</v>
      </c>
      <c r="I10" s="2" t="str">
        <f t="shared" si="0"/>
        <v>OK</v>
      </c>
      <c r="J10" s="7" t="s">
        <v>136</v>
      </c>
    </row>
    <row r="11" spans="1:10" s="7" customFormat="1" x14ac:dyDescent="0.25">
      <c r="A11" s="2" t="s">
        <v>61</v>
      </c>
      <c r="B11" s="2" t="s">
        <v>60</v>
      </c>
      <c r="C11" s="2">
        <f>'Datos de entrada'!B29</f>
        <v>450</v>
      </c>
      <c r="D11" s="2"/>
      <c r="E11" s="2"/>
      <c r="F11" s="2"/>
      <c r="G11" s="2"/>
      <c r="H11" s="2">
        <f>'Datos de entrada'!B29</f>
        <v>450</v>
      </c>
      <c r="I11" s="2" t="str">
        <f t="shared" si="0"/>
        <v>OK</v>
      </c>
    </row>
    <row r="12" spans="1:10" s="7" customFormat="1" x14ac:dyDescent="0.25">
      <c r="A12" s="2" t="s">
        <v>62</v>
      </c>
      <c r="B12" s="2" t="s">
        <v>64</v>
      </c>
      <c r="C12" s="2">
        <f>'Datos de entrada'!B8</f>
        <v>5000</v>
      </c>
      <c r="D12" s="2"/>
      <c r="E12" s="2">
        <f>C12</f>
        <v>5000</v>
      </c>
      <c r="F12" s="2"/>
      <c r="G12" s="2"/>
      <c r="H12" s="2"/>
      <c r="I12" s="2" t="str">
        <f t="shared" si="0"/>
        <v>OK</v>
      </c>
    </row>
    <row r="13" spans="1:10" s="7" customFormat="1" x14ac:dyDescent="0.25">
      <c r="A13" s="2" t="s">
        <v>63</v>
      </c>
      <c r="B13" s="2" t="s">
        <v>65</v>
      </c>
      <c r="C13" s="2">
        <f>'Datos de entrada'!B9</f>
        <v>2000</v>
      </c>
      <c r="D13" s="2"/>
      <c r="E13" s="2"/>
      <c r="F13" s="2">
        <f>C13</f>
        <v>2000</v>
      </c>
      <c r="G13" s="2"/>
      <c r="H13" s="2"/>
      <c r="I13" s="2" t="str">
        <f t="shared" si="0"/>
        <v>OK</v>
      </c>
    </row>
    <row r="14" spans="1:10" s="7" customFormat="1" x14ac:dyDescent="0.25">
      <c r="A14" s="2" t="s">
        <v>67</v>
      </c>
      <c r="B14" s="2"/>
      <c r="C14" s="2">
        <f>SUM(C5:C13)</f>
        <v>134000</v>
      </c>
      <c r="D14" s="2">
        <f t="shared" ref="D14:H14" si="1">SUM(D5:D13)</f>
        <v>150</v>
      </c>
      <c r="E14" s="2">
        <f t="shared" si="1"/>
        <v>80000</v>
      </c>
      <c r="F14" s="2">
        <f t="shared" si="1"/>
        <v>39500</v>
      </c>
      <c r="G14" s="2">
        <f t="shared" si="1"/>
        <v>1850</v>
      </c>
      <c r="H14" s="2">
        <f t="shared" si="1"/>
        <v>12500</v>
      </c>
      <c r="I14" s="2" t="str">
        <f t="shared" si="0"/>
        <v>OK</v>
      </c>
    </row>
    <row r="15" spans="1:10" s="7" customFormat="1" x14ac:dyDescent="0.25">
      <c r="A15" s="7" t="s">
        <v>68</v>
      </c>
      <c r="D15" s="7" t="s">
        <v>71</v>
      </c>
      <c r="E15" s="7" t="s">
        <v>138</v>
      </c>
      <c r="F15" s="7" t="s">
        <v>72</v>
      </c>
      <c r="G15" s="7" t="s">
        <v>73</v>
      </c>
      <c r="H15" s="7" t="s">
        <v>74</v>
      </c>
      <c r="J15" s="7" t="s">
        <v>137</v>
      </c>
    </row>
    <row r="16" spans="1:10" s="7" customFormat="1" x14ac:dyDescent="0.25">
      <c r="A16" s="7" t="s">
        <v>69</v>
      </c>
      <c r="D16" s="7">
        <f>'Cadena de valor'!B6</f>
        <v>300</v>
      </c>
      <c r="E16" s="7">
        <f>'Cadena de valor'!H11</f>
        <v>4100</v>
      </c>
      <c r="F16" s="7">
        <f>400+400</f>
        <v>800</v>
      </c>
      <c r="G16" s="7">
        <f>'Cadena de valor'!Q6+'Cadena de valor'!Q13</f>
        <v>300</v>
      </c>
    </row>
    <row r="17" spans="1:7" s="10" customFormat="1" x14ac:dyDescent="0.25">
      <c r="A17" s="12" t="s">
        <v>70</v>
      </c>
      <c r="B17" s="12"/>
      <c r="C17" s="12"/>
      <c r="D17" s="12">
        <f>D14/D16</f>
        <v>0.5</v>
      </c>
      <c r="E17" s="12">
        <f>E14/E16</f>
        <v>19.512195121951219</v>
      </c>
      <c r="F17" s="12">
        <f t="shared" ref="F17:G17" si="2">F14/F16</f>
        <v>49.375</v>
      </c>
      <c r="G17" s="12">
        <f t="shared" si="2"/>
        <v>6.166666666666667</v>
      </c>
    </row>
    <row r="18" spans="1:7" s="7" customFormat="1" x14ac:dyDescent="0.25"/>
    <row r="19" spans="1:7" s="7" customFormat="1" x14ac:dyDescent="0.25"/>
    <row r="20" spans="1:7" s="7" customFormat="1" ht="17.25" x14ac:dyDescent="0.4">
      <c r="A20" s="11" t="s">
        <v>75</v>
      </c>
    </row>
    <row r="21" spans="1:7" s="7" customFormat="1" x14ac:dyDescent="0.25">
      <c r="B21" s="2"/>
      <c r="C21" s="2" t="s">
        <v>78</v>
      </c>
      <c r="D21" s="2"/>
      <c r="E21" s="2" t="s">
        <v>79</v>
      </c>
      <c r="F21" s="2" t="s">
        <v>43</v>
      </c>
    </row>
    <row r="22" spans="1:7" s="7" customFormat="1" x14ac:dyDescent="0.25">
      <c r="A22" s="2" t="s">
        <v>76</v>
      </c>
      <c r="B22" s="2">
        <f>'Cadena de valor'!B6</f>
        <v>300</v>
      </c>
      <c r="C22" s="2" t="s">
        <v>33</v>
      </c>
      <c r="D22" s="2">
        <f>F22/B22</f>
        <v>87</v>
      </c>
      <c r="E22" s="2" t="s">
        <v>80</v>
      </c>
      <c r="F22" s="2">
        <f>'Datos de entrada'!B20</f>
        <v>26100</v>
      </c>
    </row>
    <row r="23" spans="1:7" s="7" customFormat="1" x14ac:dyDescent="0.25">
      <c r="A23" s="2" t="s">
        <v>77</v>
      </c>
      <c r="B23" s="2">
        <f>B22</f>
        <v>300</v>
      </c>
      <c r="C23" s="2" t="s">
        <v>33</v>
      </c>
      <c r="D23" s="2">
        <f>D17</f>
        <v>0.5</v>
      </c>
      <c r="E23" s="2" t="s">
        <v>80</v>
      </c>
      <c r="F23" s="2">
        <f>B23*D23</f>
        <v>150</v>
      </c>
    </row>
    <row r="24" spans="1:7" s="7" customFormat="1" x14ac:dyDescent="0.25">
      <c r="F24" s="7">
        <f>SUM(F22:F23)</f>
        <v>26250</v>
      </c>
    </row>
    <row r="25" spans="1:7" s="7" customFormat="1" x14ac:dyDescent="0.25">
      <c r="E25" s="12" t="s">
        <v>70</v>
      </c>
      <c r="F25" s="12">
        <f>F24/'Cadena de valor'!B6</f>
        <v>87.5</v>
      </c>
    </row>
    <row r="26" spans="1:7" s="7" customFormat="1" x14ac:dyDescent="0.25"/>
    <row r="27" spans="1:7" s="7" customFormat="1" x14ac:dyDescent="0.25"/>
    <row r="28" spans="1:7" s="7" customFormat="1" ht="17.25" x14ac:dyDescent="0.4">
      <c r="A28" s="11" t="s">
        <v>154</v>
      </c>
    </row>
    <row r="29" spans="1:7" s="7" customFormat="1" x14ac:dyDescent="0.25">
      <c r="B29" s="2"/>
      <c r="C29" s="2" t="s">
        <v>78</v>
      </c>
      <c r="D29" s="2"/>
      <c r="E29" s="2" t="s">
        <v>79</v>
      </c>
      <c r="F29" s="2" t="s">
        <v>43</v>
      </c>
    </row>
    <row r="30" spans="1:7" s="7" customFormat="1" x14ac:dyDescent="0.25">
      <c r="A30" s="2" t="s">
        <v>29</v>
      </c>
      <c r="B30" s="2">
        <f>'Cadena de valor'!B5</f>
        <v>0</v>
      </c>
      <c r="C30" s="2" t="str">
        <f>'Cadena de valor'!C5</f>
        <v>ud</v>
      </c>
      <c r="D30" s="2">
        <v>0</v>
      </c>
      <c r="E30" s="2" t="s">
        <v>80</v>
      </c>
      <c r="F30" s="2">
        <v>0</v>
      </c>
    </row>
    <row r="31" spans="1:7" s="7" customFormat="1" x14ac:dyDescent="0.25">
      <c r="A31" s="2" t="s">
        <v>30</v>
      </c>
      <c r="B31" s="2">
        <f>'Cadena de valor'!B6</f>
        <v>300</v>
      </c>
      <c r="C31" s="2" t="str">
        <f>'Cadena de valor'!C6</f>
        <v>ud</v>
      </c>
      <c r="D31" s="2">
        <f>F25</f>
        <v>87.5</v>
      </c>
      <c r="E31" s="2" t="s">
        <v>80</v>
      </c>
      <c r="F31" s="2">
        <f>B31*D31</f>
        <v>26250</v>
      </c>
    </row>
    <row r="32" spans="1:7" s="10" customFormat="1" x14ac:dyDescent="0.25">
      <c r="A32" s="15" t="s">
        <v>31</v>
      </c>
      <c r="B32" s="15">
        <f>'Cadena de valor'!B7</f>
        <v>250</v>
      </c>
      <c r="C32" s="15" t="str">
        <f>'Cadena de valor'!C7</f>
        <v>ud</v>
      </c>
      <c r="D32" s="15">
        <f>D31</f>
        <v>87.5</v>
      </c>
      <c r="E32" s="15" t="s">
        <v>80</v>
      </c>
      <c r="F32" s="15">
        <f t="shared" ref="F32:F33" si="3">B32*D32</f>
        <v>21875</v>
      </c>
    </row>
    <row r="33" spans="1:7" s="7" customFormat="1" x14ac:dyDescent="0.25">
      <c r="A33" s="2" t="s">
        <v>32</v>
      </c>
      <c r="B33" s="2">
        <f>'Cadena de valor'!B8</f>
        <v>50</v>
      </c>
      <c r="C33" s="2" t="str">
        <f>'Cadena de valor'!C8</f>
        <v>ud</v>
      </c>
      <c r="D33" s="2">
        <f>D31</f>
        <v>87.5</v>
      </c>
      <c r="E33" s="2" t="s">
        <v>80</v>
      </c>
      <c r="F33" s="2">
        <f t="shared" si="3"/>
        <v>4375</v>
      </c>
    </row>
    <row r="34" spans="1:7" s="7" customFormat="1" x14ac:dyDescent="0.25"/>
    <row r="35" spans="1:7" s="7" customFormat="1" ht="17.25" x14ac:dyDescent="0.4">
      <c r="A35" s="11" t="s">
        <v>152</v>
      </c>
    </row>
    <row r="36" spans="1:7" s="7" customFormat="1" x14ac:dyDescent="0.25"/>
    <row r="37" spans="1:7" s="7" customFormat="1" x14ac:dyDescent="0.25">
      <c r="A37" s="7" t="s">
        <v>153</v>
      </c>
    </row>
    <row r="38" spans="1:7" s="7" customFormat="1" x14ac:dyDescent="0.25">
      <c r="B38" s="2" t="s">
        <v>81</v>
      </c>
      <c r="C38" s="2" t="s">
        <v>96</v>
      </c>
      <c r="D38" s="2" t="s">
        <v>43</v>
      </c>
      <c r="F38" s="10" t="s">
        <v>92</v>
      </c>
    </row>
    <row r="39" spans="1:7" s="7" customFormat="1" x14ac:dyDescent="0.25">
      <c r="A39" s="2" t="s">
        <v>84</v>
      </c>
      <c r="B39" s="2">
        <v>2000</v>
      </c>
      <c r="C39" s="2">
        <f>D39-B39</f>
        <v>6000</v>
      </c>
      <c r="D39" s="2">
        <f>'Datos de entrada'!B18</f>
        <v>8000</v>
      </c>
      <c r="F39" s="7" t="s">
        <v>93</v>
      </c>
      <c r="G39" s="7">
        <f>'Datos de entrada'!B25+'Datos de entrada'!B26</f>
        <v>119000</v>
      </c>
    </row>
    <row r="40" spans="1:7" s="7" customFormat="1" x14ac:dyDescent="0.25">
      <c r="A40" s="2" t="s">
        <v>85</v>
      </c>
      <c r="B40" s="2">
        <f>F32</f>
        <v>21875</v>
      </c>
      <c r="C40" s="2">
        <f>G41+G46</f>
        <v>105500</v>
      </c>
      <c r="D40" s="2">
        <f>B40+C40</f>
        <v>127375</v>
      </c>
      <c r="F40" s="7" t="s">
        <v>50</v>
      </c>
      <c r="G40" s="7">
        <f>C7</f>
        <v>93500</v>
      </c>
    </row>
    <row r="41" spans="1:7" s="7" customFormat="1" x14ac:dyDescent="0.25">
      <c r="A41" s="2" t="s">
        <v>86</v>
      </c>
      <c r="B41" s="2">
        <f>B39+B40</f>
        <v>23875</v>
      </c>
      <c r="C41" s="2">
        <f t="shared" ref="C41" si="4">C39+C40</f>
        <v>111500</v>
      </c>
      <c r="D41" s="2">
        <f>D39+D40</f>
        <v>135375</v>
      </c>
      <c r="F41" s="7" t="s">
        <v>82</v>
      </c>
      <c r="G41" s="7">
        <f>G39-G40</f>
        <v>25500</v>
      </c>
    </row>
    <row r="42" spans="1:7" s="7" customFormat="1" x14ac:dyDescent="0.25">
      <c r="A42" s="2" t="s">
        <v>87</v>
      </c>
      <c r="B42" s="2">
        <f>'Cadena de valor'!$H$12</f>
        <v>4000</v>
      </c>
      <c r="C42" s="2">
        <f>'Cadena de valor'!$H$12</f>
        <v>4000</v>
      </c>
      <c r="D42" s="2"/>
    </row>
    <row r="43" spans="1:7" s="7" customFormat="1" x14ac:dyDescent="0.25">
      <c r="A43" s="2" t="s">
        <v>88</v>
      </c>
      <c r="B43" s="2">
        <f>'Cadena de valor'!$H$13*B44</f>
        <v>500</v>
      </c>
      <c r="C43" s="2">
        <f>'Cadena de valor'!$H$13*C44</f>
        <v>300</v>
      </c>
      <c r="D43" s="2"/>
      <c r="F43" s="10" t="s">
        <v>94</v>
      </c>
      <c r="G43" s="7" t="s">
        <v>140</v>
      </c>
    </row>
    <row r="44" spans="1:7" s="7" customFormat="1" x14ac:dyDescent="0.25">
      <c r="A44" s="2"/>
      <c r="B44" s="16">
        <v>1</v>
      </c>
      <c r="C44" s="16">
        <v>0.6</v>
      </c>
      <c r="D44" s="2"/>
      <c r="F44" s="7" t="s">
        <v>95</v>
      </c>
      <c r="G44" s="7">
        <f>'Cadena de valor'!H11</f>
        <v>4100</v>
      </c>
    </row>
    <row r="45" spans="1:7" s="7" customFormat="1" x14ac:dyDescent="0.25">
      <c r="A45" s="2" t="s">
        <v>89</v>
      </c>
      <c r="B45" s="2">
        <f>B42+B43</f>
        <v>4500</v>
      </c>
      <c r="C45" s="2">
        <f t="shared" ref="C45" si="5">C42+C43</f>
        <v>4300</v>
      </c>
      <c r="D45" s="2">
        <f>SUM(B45:C45)</f>
        <v>8800</v>
      </c>
      <c r="F45" s="7" t="s">
        <v>141</v>
      </c>
      <c r="G45" s="7">
        <f>E17</f>
        <v>19.512195121951219</v>
      </c>
    </row>
    <row r="46" spans="1:7" s="7" customFormat="1" x14ac:dyDescent="0.25">
      <c r="A46" s="17" t="s">
        <v>70</v>
      </c>
      <c r="B46" s="17">
        <f>B41/B45</f>
        <v>5.3055555555555554</v>
      </c>
      <c r="C46" s="17">
        <f t="shared" ref="C46" si="6">C41/C45</f>
        <v>25.930232558139537</v>
      </c>
      <c r="D46" s="17">
        <f>SUM(B46:C46)</f>
        <v>31.235788113695094</v>
      </c>
      <c r="F46" s="7" t="s">
        <v>83</v>
      </c>
      <c r="G46" s="7">
        <f>G44*G45</f>
        <v>80000</v>
      </c>
    </row>
    <row r="47" spans="1:7" s="7" customFormat="1" x14ac:dyDescent="0.25">
      <c r="A47" s="7" t="s">
        <v>91</v>
      </c>
      <c r="B47" s="7">
        <f>B46*B41</f>
        <v>126670.13888888889</v>
      </c>
      <c r="C47" s="7">
        <f>C46*C41</f>
        <v>2891220.9302325584</v>
      </c>
      <c r="D47" s="7">
        <f>SUM(B47:C47)</f>
        <v>3017891.0691214474</v>
      </c>
    </row>
    <row r="48" spans="1:7" s="7" customFormat="1" x14ac:dyDescent="0.25">
      <c r="A48" s="7" t="s">
        <v>90</v>
      </c>
      <c r="B48" s="7">
        <f>B46*B43</f>
        <v>2652.7777777777778</v>
      </c>
      <c r="C48" s="7">
        <f t="shared" ref="C48" si="7">C46*C43</f>
        <v>7779.0697674418607</v>
      </c>
      <c r="D48" s="7">
        <f>SUM(B48:C48)</f>
        <v>10431.847545219638</v>
      </c>
    </row>
    <row r="49" spans="1:7" s="7" customFormat="1" x14ac:dyDescent="0.25"/>
    <row r="50" spans="1:7" s="7" customFormat="1" x14ac:dyDescent="0.25">
      <c r="A50" s="7" t="s">
        <v>113</v>
      </c>
    </row>
    <row r="51" spans="1:7" x14ac:dyDescent="0.25">
      <c r="A51" s="18" t="s">
        <v>114</v>
      </c>
      <c r="B51" s="7">
        <f>'Cadena de valor'!H13</f>
        <v>500</v>
      </c>
      <c r="C51" s="13">
        <v>1</v>
      </c>
      <c r="D51" s="7" t="s">
        <v>117</v>
      </c>
      <c r="E51" s="7">
        <f>B46</f>
        <v>5.3055555555555554</v>
      </c>
      <c r="F51" s="7" t="s">
        <v>80</v>
      </c>
      <c r="G51" s="7">
        <f>B51*C51*E51</f>
        <v>2652.7777777777778</v>
      </c>
    </row>
    <row r="52" spans="1:7" x14ac:dyDescent="0.25">
      <c r="A52" s="18" t="s">
        <v>115</v>
      </c>
      <c r="B52" s="7">
        <f>'Cadena de valor'!H13</f>
        <v>500</v>
      </c>
      <c r="C52" s="13">
        <v>0.6</v>
      </c>
      <c r="D52" s="7" t="s">
        <v>117</v>
      </c>
      <c r="E52" s="7">
        <f>C46</f>
        <v>25.930232558139537</v>
      </c>
      <c r="F52" s="7" t="s">
        <v>80</v>
      </c>
      <c r="G52" s="7">
        <f>B52*C52*E52</f>
        <v>7779.0697674418607</v>
      </c>
    </row>
    <row r="53" spans="1:7" x14ac:dyDescent="0.25">
      <c r="B53" s="7"/>
      <c r="C53" s="7"/>
      <c r="D53" s="7"/>
      <c r="E53" s="7"/>
      <c r="F53" s="18" t="s">
        <v>116</v>
      </c>
      <c r="G53" s="7">
        <f>G51+G52</f>
        <v>10431.847545219638</v>
      </c>
    </row>
    <row r="57" spans="1:7" s="7" customFormat="1" ht="17.25" x14ac:dyDescent="0.4">
      <c r="A57" s="11" t="s">
        <v>147</v>
      </c>
    </row>
    <row r="58" spans="1:7" s="7" customFormat="1" x14ac:dyDescent="0.25">
      <c r="A58" s="2"/>
      <c r="B58" s="2"/>
      <c r="C58" s="2" t="s">
        <v>78</v>
      </c>
      <c r="D58" s="2"/>
      <c r="E58" s="2" t="s">
        <v>79</v>
      </c>
      <c r="F58" s="2" t="s">
        <v>43</v>
      </c>
    </row>
    <row r="59" spans="1:7" s="7" customFormat="1" x14ac:dyDescent="0.25">
      <c r="A59" s="2" t="str">
        <f>'Cadena de valor'!J4</f>
        <v>Ex Ini</v>
      </c>
      <c r="B59" s="2">
        <f>'Cadena de valor'!K4</f>
        <v>1000</v>
      </c>
      <c r="C59" s="2" t="str">
        <f>'Cadena de valor'!L4</f>
        <v>ud</v>
      </c>
      <c r="D59" s="2">
        <f>F59/B59</f>
        <v>23</v>
      </c>
      <c r="E59" s="2" t="s">
        <v>80</v>
      </c>
      <c r="F59" s="2">
        <f>'Datos de entrada'!B19</f>
        <v>23000</v>
      </c>
    </row>
    <row r="60" spans="1:7" s="7" customFormat="1" x14ac:dyDescent="0.25">
      <c r="A60" s="2" t="str">
        <f>'Cadena de valor'!J5</f>
        <v>Trituraron</v>
      </c>
      <c r="B60" s="2">
        <f>'Cadena de valor'!K5</f>
        <v>4000</v>
      </c>
      <c r="C60" s="2" t="str">
        <f>'Cadena de valor'!L5</f>
        <v>ud</v>
      </c>
      <c r="D60" s="2">
        <f>D46</f>
        <v>31.235788113695094</v>
      </c>
      <c r="E60" s="2" t="s">
        <v>80</v>
      </c>
      <c r="F60" s="2">
        <f>B60*D60</f>
        <v>124943.15245478037</v>
      </c>
    </row>
    <row r="61" spans="1:7" s="10" customFormat="1" x14ac:dyDescent="0.25">
      <c r="A61" s="15" t="str">
        <f>'Cadena de valor'!J6</f>
        <v>Consumo Vintage</v>
      </c>
      <c r="B61" s="15">
        <f>'Cadena de valor'!K6</f>
        <v>2000</v>
      </c>
      <c r="C61" s="15" t="str">
        <f>'Cadena de valor'!L6</f>
        <v>ud</v>
      </c>
      <c r="D61" s="15">
        <f>B65</f>
        <v>29.588630490956071</v>
      </c>
      <c r="E61" s="15" t="s">
        <v>80</v>
      </c>
      <c r="F61" s="15">
        <f t="shared" ref="F61:F63" si="8">B61*D61</f>
        <v>59177.260981912143</v>
      </c>
    </row>
    <row r="62" spans="1:7" s="10" customFormat="1" x14ac:dyDescent="0.25">
      <c r="A62" s="15" t="str">
        <f>'Cadena de valor'!J7</f>
        <v>Consumo Eternity</v>
      </c>
      <c r="B62" s="15">
        <f>'Cadena de valor'!K7</f>
        <v>1600</v>
      </c>
      <c r="C62" s="15" t="str">
        <f>'Cadena de valor'!L7</f>
        <v>ud</v>
      </c>
      <c r="D62" s="15">
        <f>B65</f>
        <v>29.588630490956071</v>
      </c>
      <c r="E62" s="15" t="s">
        <v>80</v>
      </c>
      <c r="F62" s="15">
        <f t="shared" si="8"/>
        <v>47341.808785529713</v>
      </c>
    </row>
    <row r="63" spans="1:7" s="7" customFormat="1" x14ac:dyDescent="0.25">
      <c r="A63" s="2" t="str">
        <f>'Cadena de valor'!J8</f>
        <v>Ex Fin</v>
      </c>
      <c r="B63" s="2">
        <f>'Cadena de valor'!K8</f>
        <v>1400</v>
      </c>
      <c r="C63" s="2" t="str">
        <f>'Cadena de valor'!L8</f>
        <v>ud</v>
      </c>
      <c r="D63" s="2">
        <f>B65</f>
        <v>29.588630490956071</v>
      </c>
      <c r="E63" s="21" t="s">
        <v>80</v>
      </c>
      <c r="F63" s="21">
        <f t="shared" si="8"/>
        <v>41424.082687338501</v>
      </c>
    </row>
    <row r="64" spans="1:7" s="7" customFormat="1" x14ac:dyDescent="0.25"/>
    <row r="65" spans="1:6" s="7" customFormat="1" x14ac:dyDescent="0.25">
      <c r="A65" s="2" t="s">
        <v>97</v>
      </c>
      <c r="B65" s="2">
        <f>(F59+F60)/(B59+B60)</f>
        <v>29.588630490956071</v>
      </c>
    </row>
    <row r="66" spans="1:6" s="7" customFormat="1" x14ac:dyDescent="0.25"/>
    <row r="67" spans="1:6" s="7" customFormat="1" ht="17.25" x14ac:dyDescent="0.4">
      <c r="A67" s="11" t="s">
        <v>148</v>
      </c>
    </row>
    <row r="68" spans="1:6" s="7" customFormat="1" x14ac:dyDescent="0.25"/>
    <row r="69" spans="1:6" s="7" customFormat="1" x14ac:dyDescent="0.25">
      <c r="A69" s="7" t="s">
        <v>150</v>
      </c>
    </row>
    <row r="70" spans="1:6" s="7" customFormat="1" x14ac:dyDescent="0.25">
      <c r="B70" s="2"/>
      <c r="C70" s="2" t="s">
        <v>78</v>
      </c>
      <c r="D70" s="2"/>
      <c r="E70" s="2" t="s">
        <v>79</v>
      </c>
      <c r="F70" s="2" t="s">
        <v>43</v>
      </c>
    </row>
    <row r="71" spans="1:6" s="7" customFormat="1" x14ac:dyDescent="0.25">
      <c r="A71" s="2" t="s">
        <v>149</v>
      </c>
      <c r="B71" s="2">
        <f>B61</f>
        <v>2000</v>
      </c>
      <c r="C71" s="2" t="str">
        <f t="shared" ref="C71:F71" si="9">C61</f>
        <v>ud</v>
      </c>
      <c r="D71" s="2">
        <f t="shared" si="9"/>
        <v>29.588630490956071</v>
      </c>
      <c r="E71" s="2" t="str">
        <f t="shared" si="9"/>
        <v>€/ud</v>
      </c>
      <c r="F71" s="2">
        <f t="shared" si="9"/>
        <v>59177.260981912143</v>
      </c>
    </row>
    <row r="72" spans="1:6" s="7" customFormat="1" x14ac:dyDescent="0.25">
      <c r="A72" s="2" t="s">
        <v>98</v>
      </c>
      <c r="B72" s="2">
        <f>400</f>
        <v>400</v>
      </c>
      <c r="C72" s="2" t="s">
        <v>72</v>
      </c>
      <c r="D72" s="2">
        <f>F17</f>
        <v>49.375</v>
      </c>
      <c r="E72" s="2" t="s">
        <v>99</v>
      </c>
      <c r="F72" s="2">
        <f>B72*D72</f>
        <v>19750</v>
      </c>
    </row>
    <row r="73" spans="1:6" s="7" customFormat="1" x14ac:dyDescent="0.25">
      <c r="F73" s="2">
        <f>SUM(F71:F72)</f>
        <v>78927.260981912143</v>
      </c>
    </row>
    <row r="74" spans="1:6" s="7" customFormat="1" x14ac:dyDescent="0.25">
      <c r="E74" s="27" t="s">
        <v>70</v>
      </c>
      <c r="F74" s="27">
        <f>F73/'Cadena de valor'!Q5</f>
        <v>394.63630490956069</v>
      </c>
    </row>
    <row r="75" spans="1:6" s="7" customFormat="1" x14ac:dyDescent="0.25"/>
    <row r="76" spans="1:6" s="7" customFormat="1" x14ac:dyDescent="0.25">
      <c r="A76" s="7" t="s">
        <v>151</v>
      </c>
    </row>
    <row r="77" spans="1:6" s="7" customFormat="1" x14ac:dyDescent="0.25">
      <c r="B77" s="2"/>
      <c r="C77" s="2" t="s">
        <v>78</v>
      </c>
      <c r="D77" s="2"/>
      <c r="E77" s="2" t="s">
        <v>79</v>
      </c>
      <c r="F77" s="2" t="s">
        <v>43</v>
      </c>
    </row>
    <row r="78" spans="1:6" s="7" customFormat="1" x14ac:dyDescent="0.25">
      <c r="A78" s="2" t="str">
        <f>+A71</f>
        <v>Costes de consumo Fase I : Triturado</v>
      </c>
      <c r="B78" s="2">
        <f>B62</f>
        <v>1600</v>
      </c>
      <c r="C78" s="2" t="str">
        <f t="shared" ref="C78:F78" si="10">C62</f>
        <v>ud</v>
      </c>
      <c r="D78" s="2">
        <f t="shared" si="10"/>
        <v>29.588630490956071</v>
      </c>
      <c r="E78" s="2" t="str">
        <f t="shared" si="10"/>
        <v>€/ud</v>
      </c>
      <c r="F78" s="2">
        <f t="shared" si="10"/>
        <v>47341.808785529713</v>
      </c>
    </row>
    <row r="79" spans="1:6" s="7" customFormat="1" x14ac:dyDescent="0.25">
      <c r="A79" s="2" t="s">
        <v>98</v>
      </c>
      <c r="B79" s="2">
        <f>400</f>
        <v>400</v>
      </c>
      <c r="C79" s="2" t="s">
        <v>72</v>
      </c>
      <c r="D79" s="2">
        <f>F17</f>
        <v>49.375</v>
      </c>
      <c r="E79" s="2" t="s">
        <v>99</v>
      </c>
      <c r="F79" s="2">
        <f>B79*D79</f>
        <v>19750</v>
      </c>
    </row>
    <row r="80" spans="1:6" s="7" customFormat="1" x14ac:dyDescent="0.25">
      <c r="F80" s="2">
        <f>SUM(F78:F79)</f>
        <v>67091.80878552972</v>
      </c>
    </row>
    <row r="81" spans="1:6" s="7" customFormat="1" x14ac:dyDescent="0.25">
      <c r="E81" s="27" t="s">
        <v>70</v>
      </c>
      <c r="F81" s="27">
        <f>F80/'Cadena de valor'!Q12</f>
        <v>670.91808785529724</v>
      </c>
    </row>
    <row r="82" spans="1:6" s="7" customFormat="1" x14ac:dyDescent="0.25"/>
    <row r="83" spans="1:6" s="7" customFormat="1" ht="17.25" x14ac:dyDescent="0.4">
      <c r="A83" s="11" t="s">
        <v>100</v>
      </c>
    </row>
    <row r="84" spans="1:6" s="7" customFormat="1" x14ac:dyDescent="0.25"/>
    <row r="85" spans="1:6" s="7" customFormat="1" x14ac:dyDescent="0.25">
      <c r="A85" s="7" t="s">
        <v>150</v>
      </c>
    </row>
    <row r="86" spans="1:6" s="7" customFormat="1" x14ac:dyDescent="0.25">
      <c r="B86" s="2"/>
      <c r="C86" s="2" t="s">
        <v>78</v>
      </c>
      <c r="D86" s="2"/>
      <c r="E86" s="2" t="s">
        <v>79</v>
      </c>
      <c r="F86" s="2" t="s">
        <v>43</v>
      </c>
    </row>
    <row r="87" spans="1:6" s="7" customFormat="1" x14ac:dyDescent="0.25">
      <c r="A87" s="2" t="str">
        <f>'Cadena de valor'!P4</f>
        <v>Ex Ini</v>
      </c>
      <c r="B87" s="2">
        <f>'Cadena de valor'!Q4</f>
        <v>0</v>
      </c>
      <c r="C87" s="2" t="str">
        <f>'Cadena de valor'!R4</f>
        <v>ud</v>
      </c>
      <c r="D87" s="2">
        <v>0</v>
      </c>
      <c r="E87" s="2" t="s">
        <v>80</v>
      </c>
      <c r="F87" s="2">
        <v>0</v>
      </c>
    </row>
    <row r="88" spans="1:6" s="7" customFormat="1" x14ac:dyDescent="0.25">
      <c r="A88" s="2" t="str">
        <f>'Cadena de valor'!P5</f>
        <v>Fabricación</v>
      </c>
      <c r="B88" s="2">
        <f>'Cadena de valor'!Q5</f>
        <v>200</v>
      </c>
      <c r="C88" s="2" t="str">
        <f>'Cadena de valor'!R5</f>
        <v>ud</v>
      </c>
      <c r="D88" s="2">
        <f>F74</f>
        <v>394.63630490956069</v>
      </c>
      <c r="E88" s="2" t="s">
        <v>80</v>
      </c>
      <c r="F88" s="2">
        <f>B88*D88</f>
        <v>78927.260981912143</v>
      </c>
    </row>
    <row r="89" spans="1:6" s="10" customFormat="1" x14ac:dyDescent="0.25">
      <c r="A89" s="15" t="s">
        <v>101</v>
      </c>
      <c r="B89" s="15">
        <f>'Cadena de valor'!Q6</f>
        <v>200</v>
      </c>
      <c r="C89" s="15" t="str">
        <f>'Cadena de valor'!R6</f>
        <v>ud</v>
      </c>
      <c r="D89" s="15">
        <f>D88</f>
        <v>394.63630490956069</v>
      </c>
      <c r="E89" s="15" t="s">
        <v>80</v>
      </c>
      <c r="F89" s="15">
        <f t="shared" ref="F89:F90" si="11">B89*D89</f>
        <v>78927.260981912143</v>
      </c>
    </row>
    <row r="90" spans="1:6" s="7" customFormat="1" x14ac:dyDescent="0.25">
      <c r="A90" s="2" t="str">
        <f>'Cadena de valor'!P7</f>
        <v>Ex Fin</v>
      </c>
      <c r="B90" s="2">
        <f>'Cadena de valor'!Q7</f>
        <v>0</v>
      </c>
      <c r="C90" s="2" t="str">
        <f>'Cadena de valor'!R7</f>
        <v>ud</v>
      </c>
      <c r="D90" s="2">
        <f>D88</f>
        <v>394.63630490956069</v>
      </c>
      <c r="E90" s="2" t="s">
        <v>80</v>
      </c>
      <c r="F90" s="2">
        <f t="shared" si="11"/>
        <v>0</v>
      </c>
    </row>
    <row r="91" spans="1:6" s="7" customFormat="1" x14ac:dyDescent="0.25"/>
    <row r="92" spans="1:6" s="7" customFormat="1" x14ac:dyDescent="0.25"/>
    <row r="93" spans="1:6" s="7" customFormat="1" x14ac:dyDescent="0.25">
      <c r="A93" s="7" t="s">
        <v>151</v>
      </c>
    </row>
    <row r="94" spans="1:6" s="7" customFormat="1" x14ac:dyDescent="0.25">
      <c r="B94" s="2"/>
      <c r="C94" s="2" t="s">
        <v>78</v>
      </c>
      <c r="D94" s="2"/>
      <c r="E94" s="2" t="s">
        <v>79</v>
      </c>
      <c r="F94" s="2" t="s">
        <v>43</v>
      </c>
    </row>
    <row r="95" spans="1:6" s="7" customFormat="1" x14ac:dyDescent="0.25">
      <c r="A95" s="2" t="str">
        <f>'Cadena de valor'!P11</f>
        <v>Ex Ini</v>
      </c>
      <c r="B95" s="2">
        <f>'Cadena de valor'!Q11</f>
        <v>0</v>
      </c>
      <c r="C95" s="2" t="str">
        <f>'Cadena de valor'!R11</f>
        <v>ud</v>
      </c>
      <c r="D95" s="2">
        <v>0</v>
      </c>
      <c r="E95" s="2" t="s">
        <v>80</v>
      </c>
      <c r="F95" s="2">
        <v>0</v>
      </c>
    </row>
    <row r="96" spans="1:6" s="7" customFormat="1" x14ac:dyDescent="0.25">
      <c r="A96" s="2" t="str">
        <f>'Cadena de valor'!P12</f>
        <v>Fabricación</v>
      </c>
      <c r="B96" s="2">
        <f>'Cadena de valor'!Q12</f>
        <v>100</v>
      </c>
      <c r="C96" s="2" t="str">
        <f>'Cadena de valor'!R12</f>
        <v>ud</v>
      </c>
      <c r="D96" s="2">
        <f>F81</f>
        <v>670.91808785529724</v>
      </c>
      <c r="E96" s="2" t="s">
        <v>80</v>
      </c>
      <c r="F96" s="2">
        <f>B96*D96</f>
        <v>67091.80878552972</v>
      </c>
    </row>
    <row r="97" spans="1:14" s="10" customFormat="1" x14ac:dyDescent="0.25">
      <c r="A97" s="15" t="s">
        <v>101</v>
      </c>
      <c r="B97" s="15">
        <f>'Cadena de valor'!Q13</f>
        <v>100</v>
      </c>
      <c r="C97" s="15" t="str">
        <f>'Cadena de valor'!R13</f>
        <v>ud</v>
      </c>
      <c r="D97" s="15">
        <f>D96</f>
        <v>670.91808785529724</v>
      </c>
      <c r="E97" s="15" t="s">
        <v>80</v>
      </c>
      <c r="F97" s="15">
        <f t="shared" ref="F97:F98" si="12">B97*D97</f>
        <v>67091.80878552972</v>
      </c>
    </row>
    <row r="98" spans="1:14" s="7" customFormat="1" x14ac:dyDescent="0.25">
      <c r="A98" s="2" t="str">
        <f>'Cadena de valor'!P14</f>
        <v>Ex Fin</v>
      </c>
      <c r="B98" s="2">
        <f>'Cadena de valor'!Q14</f>
        <v>0</v>
      </c>
      <c r="C98" s="2" t="str">
        <f>'Cadena de valor'!R14</f>
        <v>ud</v>
      </c>
      <c r="D98" s="2">
        <f>D96</f>
        <v>670.91808785529724</v>
      </c>
      <c r="E98" s="2" t="s">
        <v>80</v>
      </c>
      <c r="F98" s="2">
        <f t="shared" si="12"/>
        <v>0</v>
      </c>
    </row>
    <row r="99" spans="1:14" s="7" customFormat="1" x14ac:dyDescent="0.25"/>
    <row r="100" spans="1:14" s="7" customFormat="1" x14ac:dyDescent="0.25"/>
    <row r="101" spans="1:14" s="7" customFormat="1" ht="17.25" x14ac:dyDescent="0.4">
      <c r="A101" s="11" t="s">
        <v>102</v>
      </c>
    </row>
    <row r="102" spans="1:14" s="7" customFormat="1" x14ac:dyDescent="0.25"/>
    <row r="103" spans="1:14" s="7" customFormat="1" x14ac:dyDescent="0.25">
      <c r="B103" s="23" t="s">
        <v>159</v>
      </c>
      <c r="H103" s="24" t="s">
        <v>160</v>
      </c>
    </row>
    <row r="104" spans="1:14" s="7" customFormat="1" x14ac:dyDescent="0.25">
      <c r="B104" s="23"/>
      <c r="C104" s="2" t="s">
        <v>78</v>
      </c>
      <c r="D104" s="2"/>
      <c r="E104" s="2" t="s">
        <v>79</v>
      </c>
      <c r="F104" s="2" t="s">
        <v>103</v>
      </c>
      <c r="G104" s="2" t="s">
        <v>104</v>
      </c>
      <c r="H104" s="24"/>
      <c r="I104" s="2" t="s">
        <v>78</v>
      </c>
      <c r="J104" s="2"/>
      <c r="K104" s="2" t="s">
        <v>79</v>
      </c>
      <c r="L104" s="2" t="s">
        <v>103</v>
      </c>
      <c r="M104" s="2" t="s">
        <v>104</v>
      </c>
      <c r="N104" s="2" t="s">
        <v>43</v>
      </c>
    </row>
    <row r="105" spans="1:14" s="7" customFormat="1" x14ac:dyDescent="0.25">
      <c r="A105" s="2" t="s">
        <v>37</v>
      </c>
      <c r="B105" s="2">
        <f>'Cadena de valor'!$Q$6</f>
        <v>200</v>
      </c>
      <c r="C105" s="2" t="s">
        <v>33</v>
      </c>
      <c r="D105" s="2">
        <f>F105/B105</f>
        <v>500</v>
      </c>
      <c r="E105" s="2" t="s">
        <v>80</v>
      </c>
      <c r="F105" s="2">
        <f>'Datos de entrada'!B31</f>
        <v>100000</v>
      </c>
      <c r="G105" s="22">
        <f>F105/$F$105</f>
        <v>1</v>
      </c>
      <c r="H105" s="2">
        <f>'Cadena de valor'!$Q$13</f>
        <v>100</v>
      </c>
      <c r="I105" s="2" t="s">
        <v>33</v>
      </c>
      <c r="J105" s="2">
        <f>L105/H105</f>
        <v>800</v>
      </c>
      <c r="K105" s="2" t="s">
        <v>80</v>
      </c>
      <c r="L105" s="2">
        <f>'Datos de entrada'!B32</f>
        <v>80000</v>
      </c>
      <c r="M105" s="22">
        <f>L105/$L$105</f>
        <v>1</v>
      </c>
      <c r="N105" s="2">
        <f>F105+L105</f>
        <v>180000</v>
      </c>
    </row>
    <row r="106" spans="1:14" s="7" customFormat="1" x14ac:dyDescent="0.25">
      <c r="A106" s="2" t="s">
        <v>105</v>
      </c>
      <c r="B106" s="2">
        <f>'Cadena de valor'!$Q$6</f>
        <v>200</v>
      </c>
      <c r="C106" s="2" t="s">
        <v>33</v>
      </c>
      <c r="D106" s="2">
        <f>D89</f>
        <v>394.63630490956069</v>
      </c>
      <c r="E106" s="2" t="s">
        <v>80</v>
      </c>
      <c r="F106" s="2">
        <f>B106*D106</f>
        <v>78927.260981912143</v>
      </c>
      <c r="G106" s="22">
        <f>F106/$F$105</f>
        <v>0.7892726098191214</v>
      </c>
      <c r="H106" s="2">
        <f>'Cadena de valor'!$Q$13</f>
        <v>100</v>
      </c>
      <c r="I106" s="2" t="s">
        <v>33</v>
      </c>
      <c r="J106" s="2">
        <f>D97</f>
        <v>670.91808785529724</v>
      </c>
      <c r="K106" s="2" t="s">
        <v>80</v>
      </c>
      <c r="L106" s="2">
        <f>H106*J106</f>
        <v>67091.80878552972</v>
      </c>
      <c r="M106" s="22">
        <f>L106/$L$105</f>
        <v>0.83864760981912145</v>
      </c>
      <c r="N106" s="2">
        <f t="shared" ref="N106:N109" si="13">F106+L106</f>
        <v>146019.06976744186</v>
      </c>
    </row>
    <row r="107" spans="1:14" s="7" customFormat="1" x14ac:dyDescent="0.25">
      <c r="A107" s="2" t="s">
        <v>106</v>
      </c>
      <c r="B107" s="2">
        <f>'Cadena de valor'!$Q$6</f>
        <v>200</v>
      </c>
      <c r="C107" s="2" t="s">
        <v>33</v>
      </c>
      <c r="D107" s="2">
        <f>D105-D106</f>
        <v>105.36369509043931</v>
      </c>
      <c r="E107" s="2" t="s">
        <v>80</v>
      </c>
      <c r="F107" s="2">
        <f>B107*D107</f>
        <v>21072.739018087861</v>
      </c>
      <c r="G107" s="22">
        <f>F107/$F$105</f>
        <v>0.2107273901808786</v>
      </c>
      <c r="H107" s="2">
        <f>'Cadena de valor'!$Q$13</f>
        <v>100</v>
      </c>
      <c r="I107" s="2" t="s">
        <v>33</v>
      </c>
      <c r="J107" s="2">
        <f>J105-J106</f>
        <v>129.08191214470276</v>
      </c>
      <c r="K107" s="2" t="s">
        <v>80</v>
      </c>
      <c r="L107" s="2">
        <f>H107*J107</f>
        <v>12908.191214470276</v>
      </c>
      <c r="M107" s="22">
        <f t="shared" ref="M107:M109" si="14">L107/$L$105</f>
        <v>0.16135239018087846</v>
      </c>
      <c r="N107" s="2">
        <f t="shared" si="13"/>
        <v>33980.930232558138</v>
      </c>
    </row>
    <row r="108" spans="1:14" s="7" customFormat="1" x14ac:dyDescent="0.25">
      <c r="A108" s="2" t="s">
        <v>107</v>
      </c>
      <c r="B108" s="2">
        <f>'Cadena de valor'!$Q$6</f>
        <v>200</v>
      </c>
      <c r="C108" s="2" t="s">
        <v>33</v>
      </c>
      <c r="D108" s="2">
        <f>G17</f>
        <v>6.166666666666667</v>
      </c>
      <c r="E108" s="2" t="s">
        <v>80</v>
      </c>
      <c r="F108" s="2">
        <f t="shared" ref="F108:F109" si="15">B108*D108</f>
        <v>1233.3333333333335</v>
      </c>
      <c r="G108" s="22">
        <f>F108/$F$105</f>
        <v>1.2333333333333335E-2</v>
      </c>
      <c r="H108" s="2">
        <f>'Cadena de valor'!$Q$13</f>
        <v>100</v>
      </c>
      <c r="I108" s="2" t="s">
        <v>33</v>
      </c>
      <c r="J108" s="2">
        <f>G17</f>
        <v>6.166666666666667</v>
      </c>
      <c r="K108" s="2" t="s">
        <v>80</v>
      </c>
      <c r="L108" s="2">
        <f t="shared" ref="L108:L109" si="16">H108*J108</f>
        <v>616.66666666666674</v>
      </c>
      <c r="M108" s="22">
        <f t="shared" si="14"/>
        <v>7.7083333333333344E-3</v>
      </c>
      <c r="N108" s="2">
        <f t="shared" si="13"/>
        <v>1850.0000000000002</v>
      </c>
    </row>
    <row r="109" spans="1:14" s="7" customFormat="1" x14ac:dyDescent="0.25">
      <c r="A109" s="2" t="s">
        <v>108</v>
      </c>
      <c r="B109" s="2">
        <f>'Cadena de valor'!$Q$6</f>
        <v>200</v>
      </c>
      <c r="C109" s="2" t="s">
        <v>33</v>
      </c>
      <c r="D109" s="2">
        <f>D107-D108</f>
        <v>99.197028423772636</v>
      </c>
      <c r="E109" s="2" t="s">
        <v>80</v>
      </c>
      <c r="F109" s="2">
        <f t="shared" si="15"/>
        <v>19839.405684754529</v>
      </c>
      <c r="G109" s="22">
        <f>F109/$F$105</f>
        <v>0.1983940568475453</v>
      </c>
      <c r="H109" s="2">
        <f>'Cadena de valor'!$Q$13</f>
        <v>100</v>
      </c>
      <c r="I109" s="2" t="s">
        <v>33</v>
      </c>
      <c r="J109" s="2">
        <f>J107-J108</f>
        <v>122.91524547803608</v>
      </c>
      <c r="K109" s="2" t="s">
        <v>80</v>
      </c>
      <c r="L109" s="2">
        <f t="shared" si="16"/>
        <v>12291.524547803609</v>
      </c>
      <c r="M109" s="25">
        <f t="shared" si="14"/>
        <v>0.15364405684754512</v>
      </c>
      <c r="N109" s="2">
        <f t="shared" si="13"/>
        <v>32130.930232558138</v>
      </c>
    </row>
    <row r="110" spans="1:14" s="7" customFormat="1" x14ac:dyDescent="0.25">
      <c r="A110" s="2" t="s">
        <v>112</v>
      </c>
      <c r="N110" s="2">
        <f>H14</f>
        <v>12500</v>
      </c>
    </row>
    <row r="111" spans="1:14" s="7" customFormat="1" x14ac:dyDescent="0.25">
      <c r="A111" s="2" t="s">
        <v>109</v>
      </c>
      <c r="N111" s="2">
        <f>N109-N110</f>
        <v>19630.930232558138</v>
      </c>
    </row>
    <row r="112" spans="1:14" s="7" customFormat="1" x14ac:dyDescent="0.25">
      <c r="A112" s="2" t="s">
        <v>110</v>
      </c>
      <c r="N112" s="2">
        <f>'Datos de entrada'!B16</f>
        <v>1460</v>
      </c>
    </row>
    <row r="113" spans="1:14" s="7" customFormat="1" x14ac:dyDescent="0.25">
      <c r="A113" s="2" t="s">
        <v>111</v>
      </c>
      <c r="N113" s="26">
        <f>N111-N112</f>
        <v>18170.930232558138</v>
      </c>
    </row>
    <row r="114" spans="1:14" s="7" customFormat="1" x14ac:dyDescent="0.25"/>
    <row r="115" spans="1:14" s="7" customFormat="1" x14ac:dyDescent="0.25"/>
    <row r="116" spans="1:14" s="7" customFormat="1" ht="17.25" x14ac:dyDescent="0.4">
      <c r="A116" s="11" t="s">
        <v>118</v>
      </c>
    </row>
    <row r="117" spans="1:14" s="7" customFormat="1" x14ac:dyDescent="0.25"/>
    <row r="118" spans="1:14" s="7" customFormat="1" x14ac:dyDescent="0.25">
      <c r="A118" s="7" t="s">
        <v>119</v>
      </c>
    </row>
    <row r="119" spans="1:14" s="7" customFormat="1" x14ac:dyDescent="0.25">
      <c r="A119" s="7" t="s">
        <v>120</v>
      </c>
    </row>
    <row r="120" spans="1:14" s="7" customFormat="1" x14ac:dyDescent="0.25">
      <c r="A120" s="7" t="s">
        <v>121</v>
      </c>
    </row>
    <row r="121" spans="1:14" s="7" customFormat="1" x14ac:dyDescent="0.25">
      <c r="A121" s="7" t="s">
        <v>122</v>
      </c>
    </row>
    <row r="122" spans="1:14" s="7" customFormat="1" x14ac:dyDescent="0.25">
      <c r="A122" s="7" t="s">
        <v>123</v>
      </c>
    </row>
    <row r="123" spans="1:14" s="7" customFormat="1" x14ac:dyDescent="0.25">
      <c r="A123" s="7" t="s">
        <v>124</v>
      </c>
    </row>
    <row r="124" spans="1:14" s="7" customFormat="1" x14ac:dyDescent="0.25">
      <c r="A124" s="7" t="s">
        <v>125</v>
      </c>
    </row>
    <row r="125" spans="1:14" s="7" customFormat="1" x14ac:dyDescent="0.25">
      <c r="A125" s="7" t="s">
        <v>126</v>
      </c>
    </row>
    <row r="126" spans="1:14" s="7" customFormat="1" x14ac:dyDescent="0.25">
      <c r="A126" s="7" t="s">
        <v>127</v>
      </c>
    </row>
    <row r="127" spans="1:14" s="7" customFormat="1" x14ac:dyDescent="0.25">
      <c r="A127" s="7" t="s">
        <v>128</v>
      </c>
    </row>
    <row r="128" spans="1:14" s="7" customFormat="1" x14ac:dyDescent="0.25">
      <c r="A128" s="7" t="s">
        <v>129</v>
      </c>
    </row>
    <row r="129" spans="1:1" s="7" customFormat="1" x14ac:dyDescent="0.25">
      <c r="A129" s="7" t="s">
        <v>130</v>
      </c>
    </row>
    <row r="130" spans="1:1" s="7" customFormat="1" x14ac:dyDescent="0.25">
      <c r="A130" s="7" t="s">
        <v>131</v>
      </c>
    </row>
    <row r="131" spans="1:1" s="7" customFormat="1" x14ac:dyDescent="0.25">
      <c r="A131" s="7" t="s">
        <v>132</v>
      </c>
    </row>
    <row r="132" spans="1:1" s="7" customFormat="1" x14ac:dyDescent="0.25">
      <c r="A132" s="7" t="s">
        <v>133</v>
      </c>
    </row>
    <row r="133" spans="1:1" s="7" customFormat="1" x14ac:dyDescent="0.25">
      <c r="A133" s="7" t="s">
        <v>134</v>
      </c>
    </row>
    <row r="134" spans="1:1" s="7" customFormat="1" x14ac:dyDescent="0.25">
      <c r="A134" s="7" t="s">
        <v>135</v>
      </c>
    </row>
    <row r="135" spans="1:1" s="7" customFormat="1" x14ac:dyDescent="0.25"/>
    <row r="136" spans="1:1" s="7" customFormat="1" x14ac:dyDescent="0.25"/>
    <row r="137" spans="1:1" s="7" customFormat="1" x14ac:dyDescent="0.25"/>
    <row r="138" spans="1:1" s="7" customFormat="1" x14ac:dyDescent="0.25"/>
    <row r="139" spans="1:1" s="7" customFormat="1" x14ac:dyDescent="0.25"/>
    <row r="140" spans="1:1" s="7" customFormat="1" x14ac:dyDescent="0.25"/>
    <row r="141" spans="1:1" s="7" customFormat="1" x14ac:dyDescent="0.25"/>
    <row r="142" spans="1:1" s="7" customFormat="1" x14ac:dyDescent="0.25"/>
    <row r="143" spans="1:1" s="7" customFormat="1" x14ac:dyDescent="0.25"/>
    <row r="144" spans="1:1"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 de entrada</vt:lpstr>
      <vt:lpstr>Cadena de valor</vt:lpstr>
      <vt:lpstr>Cálculo de costes</vt:lpstr>
    </vt:vector>
  </TitlesOfParts>
  <Company>Universidad de Castilla-La Manhca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2024-04-16T16:32:37Z</dcterms:created>
  <dcterms:modified xsi:type="dcterms:W3CDTF">2025-05-04T19:16:42Z</dcterms:modified>
</cp:coreProperties>
</file>